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yra_silva\Documents\Denise\"/>
    </mc:Choice>
  </mc:AlternateContent>
  <bookViews>
    <workbookView xWindow="0" yWindow="0" windowWidth="19200" windowHeight="6060" tabRatio="500"/>
  </bookViews>
  <sheets>
    <sheet name="Funcionários" sheetId="1" r:id="rId1"/>
  </sheets>
  <definedNames>
    <definedName name="_xlnm._FilterDatabase" localSheetId="0" hidden="1">Funcionários!$A$2:$H$351</definedName>
  </definedNames>
  <calcPr calcId="162913" iterate="1"/>
</workbook>
</file>

<file path=xl/calcChain.xml><?xml version="1.0" encoding="utf-8"?>
<calcChain xmlns="http://schemas.openxmlformats.org/spreadsheetml/2006/main">
  <c r="E351" i="1" l="1"/>
  <c r="C351" i="1"/>
  <c r="B351" i="1"/>
  <c r="A351" i="1"/>
  <c r="E350" i="1"/>
  <c r="C350" i="1"/>
  <c r="B350" i="1"/>
  <c r="A350" i="1"/>
  <c r="E349" i="1"/>
  <c r="C349" i="1"/>
  <c r="B349" i="1"/>
  <c r="A349" i="1"/>
  <c r="E348" i="1"/>
  <c r="C348" i="1"/>
  <c r="B348" i="1"/>
  <c r="A348" i="1"/>
  <c r="E347" i="1"/>
  <c r="C347" i="1"/>
  <c r="B347" i="1"/>
  <c r="A347" i="1"/>
  <c r="E346" i="1"/>
  <c r="C346" i="1"/>
  <c r="B346" i="1"/>
  <c r="A346" i="1"/>
  <c r="E345" i="1"/>
  <c r="C345" i="1"/>
  <c r="B345" i="1"/>
  <c r="A345" i="1"/>
  <c r="E344" i="1"/>
  <c r="C344" i="1"/>
  <c r="B344" i="1"/>
  <c r="A344" i="1"/>
  <c r="E343" i="1"/>
  <c r="C343" i="1"/>
  <c r="B343" i="1"/>
  <c r="A343" i="1"/>
  <c r="E342" i="1"/>
  <c r="C342" i="1"/>
  <c r="B342" i="1"/>
  <c r="A342" i="1"/>
  <c r="E341" i="1"/>
  <c r="C341" i="1"/>
  <c r="B341" i="1"/>
  <c r="A341" i="1"/>
  <c r="E340" i="1"/>
  <c r="C340" i="1"/>
  <c r="B340" i="1"/>
  <c r="A340" i="1"/>
  <c r="E339" i="1"/>
  <c r="C339" i="1"/>
  <c r="B339" i="1"/>
  <c r="A339" i="1"/>
  <c r="E338" i="1"/>
  <c r="C338" i="1"/>
  <c r="B338" i="1"/>
  <c r="A338" i="1"/>
  <c r="E337" i="1"/>
  <c r="C337" i="1"/>
  <c r="B337" i="1"/>
  <c r="A337" i="1"/>
  <c r="E336" i="1"/>
  <c r="C336" i="1"/>
  <c r="B336" i="1"/>
  <c r="A336" i="1"/>
  <c r="E335" i="1"/>
  <c r="C335" i="1"/>
  <c r="B335" i="1"/>
  <c r="A335" i="1"/>
  <c r="E334" i="1"/>
  <c r="C334" i="1"/>
  <c r="B334" i="1"/>
  <c r="A334" i="1"/>
  <c r="E333" i="1"/>
  <c r="C333" i="1"/>
  <c r="B333" i="1"/>
  <c r="A333" i="1"/>
  <c r="E332" i="1"/>
  <c r="C332" i="1"/>
  <c r="B332" i="1"/>
  <c r="A332" i="1"/>
  <c r="E331" i="1"/>
  <c r="C331" i="1"/>
  <c r="B331" i="1"/>
  <c r="A331" i="1"/>
  <c r="E330" i="1"/>
  <c r="C330" i="1"/>
  <c r="B330" i="1"/>
  <c r="A330" i="1"/>
  <c r="E329" i="1"/>
  <c r="C329" i="1"/>
  <c r="B329" i="1"/>
  <c r="A329" i="1"/>
  <c r="E328" i="1"/>
  <c r="C328" i="1"/>
  <c r="B328" i="1"/>
  <c r="A328" i="1"/>
  <c r="E327" i="1"/>
  <c r="C327" i="1"/>
  <c r="B327" i="1"/>
  <c r="A327" i="1"/>
  <c r="E326" i="1"/>
  <c r="C326" i="1"/>
  <c r="B326" i="1"/>
  <c r="A326" i="1"/>
  <c r="E325" i="1"/>
  <c r="C325" i="1"/>
  <c r="B325" i="1"/>
  <c r="A325" i="1"/>
  <c r="E324" i="1"/>
  <c r="C324" i="1"/>
  <c r="B324" i="1"/>
  <c r="A324" i="1"/>
  <c r="E323" i="1"/>
  <c r="C323" i="1"/>
  <c r="B323" i="1"/>
  <c r="A323" i="1"/>
  <c r="E322" i="1"/>
  <c r="C322" i="1"/>
  <c r="B322" i="1"/>
  <c r="A322" i="1"/>
  <c r="E321" i="1"/>
  <c r="C321" i="1"/>
  <c r="B321" i="1"/>
  <c r="A321" i="1"/>
  <c r="E320" i="1"/>
  <c r="C320" i="1"/>
  <c r="B320" i="1"/>
  <c r="A320" i="1"/>
  <c r="E319" i="1"/>
  <c r="C319" i="1"/>
  <c r="B319" i="1"/>
  <c r="A319" i="1"/>
  <c r="E318" i="1"/>
  <c r="C318" i="1"/>
  <c r="B318" i="1"/>
  <c r="A318" i="1"/>
  <c r="E317" i="1"/>
  <c r="C317" i="1"/>
  <c r="B317" i="1"/>
  <c r="A317" i="1"/>
  <c r="E316" i="1"/>
  <c r="C316" i="1"/>
  <c r="B316" i="1"/>
  <c r="A316" i="1"/>
  <c r="E315" i="1"/>
  <c r="C315" i="1"/>
  <c r="B315" i="1"/>
  <c r="A315" i="1"/>
  <c r="E314" i="1"/>
  <c r="C314" i="1"/>
  <c r="B314" i="1"/>
  <c r="A314" i="1"/>
  <c r="E313" i="1"/>
  <c r="C313" i="1"/>
  <c r="B313" i="1"/>
  <c r="A313" i="1"/>
  <c r="E312" i="1"/>
  <c r="C312" i="1"/>
  <c r="B312" i="1"/>
  <c r="A312" i="1"/>
  <c r="E311" i="1"/>
  <c r="C311" i="1"/>
  <c r="B311" i="1"/>
  <c r="A311" i="1"/>
  <c r="E310" i="1"/>
  <c r="C310" i="1"/>
  <c r="B310" i="1"/>
  <c r="A310" i="1"/>
  <c r="E309" i="1"/>
  <c r="C309" i="1"/>
  <c r="B309" i="1"/>
  <c r="A309" i="1"/>
  <c r="E308" i="1"/>
  <c r="C308" i="1"/>
  <c r="B308" i="1"/>
  <c r="A308" i="1"/>
  <c r="E307" i="1"/>
  <c r="C307" i="1"/>
  <c r="B307" i="1"/>
  <c r="A307" i="1"/>
  <c r="E306" i="1"/>
  <c r="C306" i="1"/>
  <c r="B306" i="1"/>
  <c r="A306" i="1"/>
  <c r="E305" i="1"/>
  <c r="C305" i="1"/>
  <c r="B305" i="1"/>
  <c r="A305" i="1"/>
  <c r="E304" i="1"/>
  <c r="C304" i="1"/>
  <c r="B304" i="1"/>
  <c r="A304" i="1"/>
  <c r="E303" i="1"/>
  <c r="C303" i="1"/>
  <c r="B303" i="1"/>
  <c r="A303" i="1"/>
  <c r="E302" i="1"/>
  <c r="C302" i="1"/>
  <c r="B302" i="1"/>
  <c r="A302" i="1"/>
  <c r="E301" i="1"/>
  <c r="C301" i="1"/>
  <c r="B301" i="1"/>
  <c r="A301" i="1"/>
  <c r="E300" i="1"/>
  <c r="C300" i="1"/>
  <c r="B300" i="1"/>
  <c r="A300" i="1"/>
  <c r="E299" i="1"/>
  <c r="C299" i="1"/>
  <c r="B299" i="1"/>
  <c r="A299" i="1"/>
  <c r="E298" i="1"/>
  <c r="C298" i="1"/>
  <c r="B298" i="1"/>
  <c r="A298" i="1"/>
  <c r="E297" i="1"/>
  <c r="C297" i="1"/>
  <c r="B297" i="1"/>
  <c r="A297" i="1"/>
  <c r="E296" i="1"/>
  <c r="C296" i="1"/>
  <c r="B296" i="1"/>
  <c r="A296" i="1"/>
  <c r="E295" i="1"/>
  <c r="C295" i="1"/>
  <c r="B295" i="1"/>
  <c r="A295" i="1"/>
  <c r="E294" i="1"/>
  <c r="C294" i="1"/>
  <c r="B294" i="1"/>
  <c r="A294" i="1"/>
  <c r="E293" i="1"/>
  <c r="C293" i="1"/>
  <c r="B293" i="1"/>
  <c r="A293" i="1"/>
  <c r="E292" i="1"/>
  <c r="C292" i="1"/>
  <c r="B292" i="1"/>
  <c r="A292" i="1"/>
  <c r="E291" i="1"/>
  <c r="C291" i="1"/>
  <c r="B291" i="1"/>
  <c r="A291" i="1"/>
  <c r="E290" i="1"/>
  <c r="C290" i="1"/>
  <c r="B290" i="1"/>
  <c r="A290" i="1"/>
  <c r="E289" i="1"/>
  <c r="C289" i="1"/>
  <c r="B289" i="1"/>
  <c r="A289" i="1"/>
  <c r="E288" i="1"/>
  <c r="C288" i="1"/>
  <c r="B288" i="1"/>
  <c r="A288" i="1"/>
  <c r="E287" i="1"/>
  <c r="C287" i="1"/>
  <c r="B287" i="1"/>
  <c r="A287" i="1"/>
  <c r="E286" i="1"/>
  <c r="C286" i="1"/>
  <c r="B286" i="1"/>
  <c r="A286" i="1"/>
  <c r="E285" i="1"/>
  <c r="C285" i="1"/>
  <c r="B285" i="1"/>
  <c r="A285" i="1"/>
  <c r="E284" i="1"/>
  <c r="C284" i="1"/>
  <c r="B284" i="1"/>
  <c r="A284" i="1"/>
  <c r="E283" i="1"/>
  <c r="C283" i="1"/>
  <c r="B283" i="1"/>
  <c r="A283" i="1"/>
  <c r="E282" i="1"/>
  <c r="C282" i="1"/>
  <c r="B282" i="1"/>
  <c r="A282" i="1"/>
  <c r="E281" i="1"/>
  <c r="C281" i="1"/>
  <c r="B281" i="1"/>
  <c r="A281" i="1"/>
  <c r="E280" i="1"/>
  <c r="C280" i="1"/>
  <c r="B280" i="1"/>
  <c r="A280" i="1"/>
  <c r="E279" i="1"/>
  <c r="C279" i="1"/>
  <c r="B279" i="1"/>
  <c r="A279" i="1"/>
  <c r="E278" i="1"/>
  <c r="C278" i="1"/>
  <c r="B278" i="1"/>
  <c r="A278" i="1"/>
  <c r="E277" i="1"/>
  <c r="C277" i="1"/>
  <c r="B277" i="1"/>
  <c r="A277" i="1"/>
  <c r="E276" i="1"/>
  <c r="C276" i="1"/>
  <c r="B276" i="1"/>
  <c r="A276" i="1"/>
  <c r="E275" i="1"/>
  <c r="C275" i="1"/>
  <c r="B275" i="1"/>
  <c r="A275" i="1"/>
  <c r="E274" i="1"/>
  <c r="C274" i="1"/>
  <c r="B274" i="1"/>
  <c r="A274" i="1"/>
  <c r="E273" i="1"/>
  <c r="C273" i="1"/>
  <c r="B273" i="1"/>
  <c r="A273" i="1"/>
  <c r="E272" i="1"/>
  <c r="C272" i="1"/>
  <c r="B272" i="1"/>
  <c r="A272" i="1"/>
  <c r="E271" i="1"/>
  <c r="C271" i="1"/>
  <c r="B271" i="1"/>
  <c r="A271" i="1"/>
  <c r="E270" i="1"/>
  <c r="C270" i="1"/>
  <c r="B270" i="1"/>
  <c r="A270" i="1"/>
  <c r="E269" i="1"/>
  <c r="C269" i="1"/>
  <c r="B269" i="1"/>
  <c r="A269" i="1"/>
  <c r="E268" i="1"/>
  <c r="C268" i="1"/>
  <c r="B268" i="1"/>
  <c r="A268" i="1"/>
  <c r="E267" i="1"/>
  <c r="C267" i="1"/>
  <c r="B267" i="1"/>
  <c r="A267" i="1"/>
  <c r="E266" i="1"/>
  <c r="C266" i="1"/>
  <c r="B266" i="1"/>
  <c r="A266" i="1"/>
  <c r="E265" i="1"/>
  <c r="C265" i="1"/>
  <c r="B265" i="1"/>
  <c r="A265" i="1"/>
  <c r="E264" i="1"/>
  <c r="C264" i="1"/>
  <c r="B264" i="1"/>
  <c r="A264" i="1"/>
  <c r="E263" i="1"/>
  <c r="C263" i="1"/>
  <c r="B263" i="1"/>
  <c r="A263" i="1"/>
  <c r="E262" i="1"/>
  <c r="C262" i="1"/>
  <c r="B262" i="1"/>
  <c r="A262" i="1"/>
  <c r="E261" i="1"/>
  <c r="C261" i="1"/>
  <c r="B261" i="1"/>
  <c r="A261" i="1"/>
  <c r="E260" i="1"/>
  <c r="C260" i="1"/>
  <c r="B260" i="1"/>
  <c r="A260" i="1"/>
  <c r="E259" i="1"/>
  <c r="C259" i="1"/>
  <c r="B259" i="1"/>
  <c r="A259" i="1"/>
  <c r="E258" i="1"/>
  <c r="C258" i="1"/>
  <c r="B258" i="1"/>
  <c r="A258" i="1"/>
  <c r="E257" i="1"/>
  <c r="C257" i="1"/>
  <c r="B257" i="1"/>
  <c r="A257" i="1"/>
  <c r="E256" i="1"/>
  <c r="C256" i="1"/>
  <c r="B256" i="1"/>
  <c r="A256" i="1"/>
  <c r="E255" i="1"/>
  <c r="C255" i="1"/>
  <c r="B255" i="1"/>
  <c r="A255" i="1"/>
  <c r="E254" i="1"/>
  <c r="C254" i="1"/>
  <c r="B254" i="1"/>
  <c r="A254" i="1"/>
  <c r="E253" i="1"/>
  <c r="C253" i="1"/>
  <c r="B253" i="1"/>
  <c r="A253" i="1"/>
  <c r="E252" i="1"/>
  <c r="C252" i="1"/>
  <c r="B252" i="1"/>
  <c r="A252" i="1"/>
  <c r="E251" i="1"/>
  <c r="C251" i="1"/>
  <c r="B251" i="1"/>
  <c r="A251" i="1"/>
  <c r="E250" i="1"/>
  <c r="C250" i="1"/>
  <c r="B250" i="1"/>
  <c r="A250" i="1"/>
  <c r="E249" i="1"/>
  <c r="C249" i="1"/>
  <c r="B249" i="1"/>
  <c r="A249" i="1"/>
  <c r="E248" i="1"/>
  <c r="C248" i="1"/>
  <c r="B248" i="1"/>
  <c r="A248" i="1"/>
  <c r="E247" i="1"/>
  <c r="C247" i="1"/>
  <c r="B247" i="1"/>
  <c r="A247" i="1"/>
  <c r="E246" i="1"/>
  <c r="C246" i="1"/>
  <c r="B246" i="1"/>
  <c r="A246" i="1"/>
  <c r="E245" i="1"/>
  <c r="C245" i="1"/>
  <c r="B245" i="1"/>
  <c r="A245" i="1"/>
  <c r="E244" i="1"/>
  <c r="C244" i="1"/>
  <c r="B244" i="1"/>
  <c r="A244" i="1"/>
  <c r="E243" i="1"/>
  <c r="C243" i="1"/>
  <c r="B243" i="1"/>
  <c r="A243" i="1"/>
  <c r="E242" i="1"/>
  <c r="C242" i="1"/>
  <c r="B242" i="1"/>
  <c r="A242" i="1"/>
  <c r="E241" i="1"/>
  <c r="C241" i="1"/>
  <c r="B241" i="1"/>
  <c r="A241" i="1"/>
  <c r="E240" i="1"/>
  <c r="C240" i="1"/>
  <c r="B240" i="1"/>
  <c r="A240" i="1"/>
  <c r="E239" i="1"/>
  <c r="C239" i="1"/>
  <c r="B239" i="1"/>
  <c r="A239" i="1"/>
  <c r="E238" i="1"/>
  <c r="C238" i="1"/>
  <c r="B238" i="1"/>
  <c r="A238" i="1"/>
  <c r="E237" i="1"/>
  <c r="C237" i="1"/>
  <c r="B237" i="1"/>
  <c r="A237" i="1"/>
  <c r="E236" i="1"/>
  <c r="C236" i="1"/>
  <c r="B236" i="1"/>
  <c r="A236" i="1"/>
  <c r="E235" i="1"/>
  <c r="C235" i="1"/>
  <c r="B235" i="1"/>
  <c r="A235" i="1"/>
  <c r="E234" i="1"/>
  <c r="C234" i="1"/>
  <c r="B234" i="1"/>
  <c r="A234" i="1"/>
  <c r="E233" i="1"/>
  <c r="C233" i="1"/>
  <c r="B233" i="1"/>
  <c r="A233" i="1"/>
  <c r="E232" i="1"/>
  <c r="C232" i="1"/>
  <c r="B232" i="1"/>
  <c r="A232" i="1"/>
  <c r="E231" i="1"/>
  <c r="C231" i="1"/>
  <c r="B231" i="1"/>
  <c r="A231" i="1"/>
  <c r="E230" i="1"/>
  <c r="C230" i="1"/>
  <c r="B230" i="1"/>
  <c r="A230" i="1"/>
  <c r="E229" i="1"/>
  <c r="C229" i="1"/>
  <c r="B229" i="1"/>
  <c r="A229" i="1"/>
  <c r="E228" i="1"/>
  <c r="C228" i="1"/>
  <c r="B228" i="1"/>
  <c r="A228" i="1"/>
  <c r="E227" i="1"/>
  <c r="C227" i="1"/>
  <c r="B227" i="1"/>
  <c r="A227" i="1"/>
  <c r="E226" i="1"/>
  <c r="C226" i="1"/>
  <c r="B226" i="1"/>
  <c r="A226" i="1"/>
  <c r="E225" i="1"/>
  <c r="C225" i="1"/>
  <c r="B225" i="1"/>
  <c r="A225" i="1"/>
  <c r="E224" i="1"/>
  <c r="C224" i="1"/>
  <c r="B224" i="1"/>
  <c r="A224" i="1"/>
  <c r="E223" i="1"/>
  <c r="C223" i="1"/>
  <c r="B223" i="1"/>
  <c r="A223" i="1"/>
  <c r="E222" i="1"/>
  <c r="C222" i="1"/>
  <c r="B222" i="1"/>
  <c r="A222" i="1"/>
  <c r="E221" i="1"/>
  <c r="C221" i="1"/>
  <c r="B221" i="1"/>
  <c r="A221" i="1"/>
  <c r="E220" i="1"/>
  <c r="C220" i="1"/>
  <c r="B220" i="1"/>
  <c r="A220" i="1"/>
  <c r="E219" i="1"/>
  <c r="C219" i="1"/>
  <c r="B219" i="1"/>
  <c r="A219" i="1"/>
  <c r="E218" i="1"/>
  <c r="C218" i="1"/>
  <c r="B218" i="1"/>
  <c r="A218" i="1"/>
  <c r="E217" i="1"/>
  <c r="C217" i="1"/>
  <c r="B217" i="1"/>
  <c r="A217" i="1"/>
  <c r="E216" i="1"/>
  <c r="C216" i="1"/>
  <c r="B216" i="1"/>
  <c r="A216" i="1"/>
  <c r="E215" i="1"/>
  <c r="C215" i="1"/>
  <c r="B215" i="1"/>
  <c r="A215" i="1"/>
  <c r="E214" i="1"/>
  <c r="C214" i="1"/>
  <c r="B214" i="1"/>
  <c r="A214" i="1"/>
  <c r="E213" i="1"/>
  <c r="C213" i="1"/>
  <c r="B213" i="1"/>
  <c r="A213" i="1"/>
  <c r="E212" i="1"/>
  <c r="C212" i="1"/>
  <c r="B212" i="1"/>
  <c r="A212" i="1"/>
  <c r="E211" i="1"/>
  <c r="C211" i="1"/>
  <c r="B211" i="1"/>
  <c r="A211" i="1"/>
  <c r="E210" i="1"/>
  <c r="C210" i="1"/>
  <c r="B210" i="1"/>
  <c r="A210" i="1"/>
  <c r="E209" i="1"/>
  <c r="C209" i="1"/>
  <c r="B209" i="1"/>
  <c r="A209" i="1"/>
  <c r="E208" i="1"/>
  <c r="C208" i="1"/>
  <c r="B208" i="1"/>
  <c r="A208" i="1"/>
  <c r="E207" i="1"/>
  <c r="C207" i="1"/>
  <c r="B207" i="1"/>
  <c r="A207" i="1"/>
  <c r="E206" i="1"/>
  <c r="C206" i="1"/>
  <c r="B206" i="1"/>
  <c r="A206" i="1"/>
  <c r="E205" i="1"/>
  <c r="C205" i="1"/>
  <c r="B205" i="1"/>
  <c r="A205" i="1"/>
  <c r="E204" i="1"/>
  <c r="C204" i="1"/>
  <c r="B204" i="1"/>
  <c r="A204" i="1"/>
  <c r="E203" i="1"/>
  <c r="C203" i="1"/>
  <c r="B203" i="1"/>
  <c r="A203" i="1"/>
  <c r="E202" i="1"/>
  <c r="C202" i="1"/>
  <c r="B202" i="1"/>
  <c r="A202" i="1"/>
  <c r="E201" i="1"/>
  <c r="C201" i="1"/>
  <c r="B201" i="1"/>
  <c r="A201" i="1"/>
  <c r="E200" i="1"/>
  <c r="C200" i="1"/>
  <c r="B200" i="1"/>
  <c r="A200" i="1"/>
  <c r="E199" i="1"/>
  <c r="C199" i="1"/>
  <c r="B199" i="1"/>
  <c r="A199" i="1"/>
  <c r="E198" i="1"/>
  <c r="C198" i="1"/>
  <c r="B198" i="1"/>
  <c r="A198" i="1"/>
  <c r="E197" i="1"/>
  <c r="C197" i="1"/>
  <c r="B197" i="1"/>
  <c r="A197" i="1"/>
  <c r="E196" i="1"/>
  <c r="C196" i="1"/>
  <c r="B196" i="1"/>
  <c r="A196" i="1"/>
  <c r="E195" i="1"/>
  <c r="C195" i="1"/>
  <c r="B195" i="1"/>
  <c r="A195" i="1"/>
  <c r="E194" i="1"/>
  <c r="C194" i="1"/>
  <c r="B194" i="1"/>
  <c r="A194" i="1"/>
  <c r="E193" i="1"/>
  <c r="C193" i="1"/>
  <c r="B193" i="1"/>
  <c r="A193" i="1"/>
  <c r="E192" i="1"/>
  <c r="C192" i="1"/>
  <c r="B192" i="1"/>
  <c r="A192" i="1"/>
  <c r="E191" i="1"/>
  <c r="C191" i="1"/>
  <c r="B191" i="1"/>
  <c r="A191" i="1"/>
  <c r="E190" i="1"/>
  <c r="C190" i="1"/>
  <c r="B190" i="1"/>
  <c r="A190" i="1"/>
  <c r="E189" i="1"/>
  <c r="C189" i="1"/>
  <c r="B189" i="1"/>
  <c r="A189" i="1"/>
  <c r="E188" i="1"/>
  <c r="C188" i="1"/>
  <c r="B188" i="1"/>
  <c r="A188" i="1"/>
  <c r="E187" i="1"/>
  <c r="C187" i="1"/>
  <c r="B187" i="1"/>
  <c r="A187" i="1"/>
  <c r="E186" i="1"/>
  <c r="C186" i="1"/>
  <c r="B186" i="1"/>
  <c r="A186" i="1"/>
  <c r="E185" i="1"/>
  <c r="C185" i="1"/>
  <c r="B185" i="1"/>
  <c r="A185" i="1"/>
  <c r="E184" i="1"/>
  <c r="C184" i="1"/>
  <c r="B184" i="1"/>
  <c r="A184" i="1"/>
  <c r="E183" i="1"/>
  <c r="C183" i="1"/>
  <c r="B183" i="1"/>
  <c r="A183" i="1"/>
  <c r="E182" i="1"/>
  <c r="C182" i="1"/>
  <c r="B182" i="1"/>
  <c r="A182" i="1"/>
  <c r="E181" i="1"/>
  <c r="C181" i="1"/>
  <c r="B181" i="1"/>
  <c r="A181" i="1"/>
  <c r="E180" i="1"/>
  <c r="C180" i="1"/>
  <c r="B180" i="1"/>
  <c r="A180" i="1"/>
  <c r="E179" i="1"/>
  <c r="C179" i="1"/>
  <c r="B179" i="1"/>
  <c r="A179" i="1"/>
  <c r="E178" i="1"/>
  <c r="C178" i="1"/>
  <c r="B178" i="1"/>
  <c r="A178" i="1"/>
  <c r="E177" i="1"/>
  <c r="C177" i="1"/>
  <c r="B177" i="1"/>
  <c r="A177" i="1"/>
  <c r="E176" i="1"/>
  <c r="C176" i="1"/>
  <c r="B176" i="1"/>
  <c r="A176" i="1"/>
  <c r="E175" i="1"/>
  <c r="C175" i="1"/>
  <c r="B175" i="1"/>
  <c r="A175" i="1"/>
  <c r="E174" i="1"/>
  <c r="C174" i="1"/>
  <c r="B174" i="1"/>
  <c r="A174" i="1"/>
  <c r="E173" i="1"/>
  <c r="C173" i="1"/>
  <c r="B173" i="1"/>
  <c r="A173" i="1"/>
  <c r="E172" i="1"/>
  <c r="C172" i="1"/>
  <c r="B172" i="1"/>
  <c r="A172" i="1"/>
  <c r="E171" i="1"/>
  <c r="C171" i="1"/>
  <c r="B171" i="1"/>
  <c r="A171" i="1"/>
  <c r="E170" i="1"/>
  <c r="C170" i="1"/>
  <c r="B170" i="1"/>
  <c r="A170" i="1"/>
  <c r="E169" i="1"/>
  <c r="C169" i="1"/>
  <c r="B169" i="1"/>
  <c r="A169" i="1"/>
  <c r="E168" i="1"/>
  <c r="C168" i="1"/>
  <c r="B168" i="1"/>
  <c r="A168" i="1"/>
  <c r="E167" i="1"/>
  <c r="C167" i="1"/>
  <c r="B167" i="1"/>
  <c r="A167" i="1"/>
  <c r="E166" i="1"/>
  <c r="C166" i="1"/>
  <c r="B166" i="1"/>
  <c r="A166" i="1"/>
  <c r="E165" i="1"/>
  <c r="C165" i="1"/>
  <c r="B165" i="1"/>
  <c r="A165" i="1"/>
  <c r="E164" i="1"/>
  <c r="C164" i="1"/>
  <c r="B164" i="1"/>
  <c r="A164" i="1"/>
  <c r="E163" i="1"/>
  <c r="C163" i="1"/>
  <c r="B163" i="1"/>
  <c r="A163" i="1"/>
  <c r="E162" i="1"/>
  <c r="C162" i="1"/>
  <c r="B162" i="1"/>
  <c r="A162" i="1"/>
  <c r="E161" i="1"/>
  <c r="C161" i="1"/>
  <c r="B161" i="1"/>
  <c r="A161" i="1"/>
  <c r="E160" i="1"/>
  <c r="C160" i="1"/>
  <c r="B160" i="1"/>
  <c r="A160" i="1"/>
  <c r="E159" i="1"/>
  <c r="C159" i="1"/>
  <c r="B159" i="1"/>
  <c r="A159" i="1"/>
  <c r="E158" i="1"/>
  <c r="C158" i="1"/>
  <c r="B158" i="1"/>
  <c r="A158" i="1"/>
  <c r="E157" i="1"/>
  <c r="C157" i="1"/>
  <c r="B157" i="1"/>
  <c r="A157" i="1"/>
  <c r="E156" i="1"/>
  <c r="C156" i="1"/>
  <c r="B156" i="1"/>
  <c r="A156" i="1"/>
  <c r="E155" i="1"/>
  <c r="C155" i="1"/>
  <c r="B155" i="1"/>
  <c r="A155" i="1"/>
  <c r="E154" i="1"/>
  <c r="C154" i="1"/>
  <c r="B154" i="1"/>
  <c r="A154" i="1"/>
  <c r="E153" i="1"/>
  <c r="C153" i="1"/>
  <c r="B153" i="1"/>
  <c r="A153" i="1"/>
  <c r="E152" i="1"/>
  <c r="C152" i="1"/>
  <c r="B152" i="1"/>
  <c r="A152" i="1"/>
  <c r="E151" i="1"/>
  <c r="C151" i="1"/>
  <c r="B151" i="1"/>
  <c r="A151" i="1"/>
  <c r="E150" i="1"/>
  <c r="C150" i="1"/>
  <c r="B150" i="1"/>
  <c r="A150" i="1"/>
  <c r="E149" i="1"/>
  <c r="C149" i="1"/>
  <c r="B149" i="1"/>
  <c r="A149" i="1"/>
  <c r="E148" i="1"/>
  <c r="C148" i="1"/>
  <c r="B148" i="1"/>
  <c r="A148" i="1"/>
  <c r="E147" i="1"/>
  <c r="C147" i="1"/>
  <c r="B147" i="1"/>
  <c r="A147" i="1"/>
  <c r="E146" i="1"/>
  <c r="C146" i="1"/>
  <c r="B146" i="1"/>
  <c r="A146" i="1"/>
  <c r="E145" i="1"/>
  <c r="C145" i="1"/>
  <c r="B145" i="1"/>
  <c r="A145" i="1"/>
  <c r="E144" i="1"/>
  <c r="C144" i="1"/>
  <c r="B144" i="1"/>
  <c r="A144" i="1"/>
  <c r="E143" i="1"/>
  <c r="C143" i="1"/>
  <c r="B143" i="1"/>
  <c r="A143" i="1"/>
  <c r="E142" i="1"/>
  <c r="C142" i="1"/>
  <c r="B142" i="1"/>
  <c r="A142" i="1"/>
  <c r="E141" i="1"/>
  <c r="C141" i="1"/>
  <c r="B141" i="1"/>
  <c r="A141" i="1"/>
  <c r="E140" i="1"/>
  <c r="C140" i="1"/>
  <c r="B140" i="1"/>
  <c r="A140" i="1"/>
  <c r="E139" i="1"/>
  <c r="C139" i="1"/>
  <c r="B139" i="1"/>
  <c r="A139" i="1"/>
  <c r="E138" i="1"/>
  <c r="C138" i="1"/>
  <c r="B138" i="1"/>
  <c r="A138" i="1"/>
  <c r="E137" i="1"/>
  <c r="C137" i="1"/>
  <c r="B137" i="1"/>
  <c r="A137" i="1"/>
  <c r="E136" i="1"/>
  <c r="C136" i="1"/>
  <c r="B136" i="1"/>
  <c r="A136" i="1"/>
  <c r="E135" i="1"/>
  <c r="C135" i="1"/>
  <c r="B135" i="1"/>
  <c r="A135" i="1"/>
  <c r="E134" i="1"/>
  <c r="C134" i="1"/>
  <c r="B134" i="1"/>
  <c r="A134" i="1"/>
  <c r="E133" i="1"/>
  <c r="C133" i="1"/>
  <c r="B133" i="1"/>
  <c r="A133" i="1"/>
  <c r="E132" i="1"/>
  <c r="C132" i="1"/>
  <c r="B132" i="1"/>
  <c r="A132" i="1"/>
  <c r="E131" i="1"/>
  <c r="C131" i="1"/>
  <c r="B131" i="1"/>
  <c r="A131" i="1"/>
  <c r="E130" i="1"/>
  <c r="C130" i="1"/>
  <c r="B130" i="1"/>
  <c r="A130" i="1"/>
  <c r="E129" i="1"/>
  <c r="C129" i="1"/>
  <c r="B129" i="1"/>
  <c r="A129" i="1"/>
  <c r="E128" i="1"/>
  <c r="C128" i="1"/>
  <c r="B128" i="1"/>
  <c r="A128" i="1"/>
  <c r="E127" i="1"/>
  <c r="C127" i="1"/>
  <c r="B127" i="1"/>
  <c r="A127" i="1"/>
  <c r="E126" i="1"/>
  <c r="C126" i="1"/>
  <c r="B126" i="1"/>
  <c r="A126" i="1"/>
  <c r="E125" i="1"/>
  <c r="C125" i="1"/>
  <c r="B125" i="1"/>
  <c r="A125" i="1"/>
  <c r="E124" i="1"/>
  <c r="C124" i="1"/>
  <c r="B124" i="1"/>
  <c r="A124" i="1"/>
  <c r="E123" i="1"/>
  <c r="C123" i="1"/>
  <c r="B123" i="1"/>
  <c r="A123" i="1"/>
  <c r="E122" i="1"/>
  <c r="C122" i="1"/>
  <c r="B122" i="1"/>
  <c r="A122" i="1"/>
  <c r="E121" i="1"/>
  <c r="C121" i="1"/>
  <c r="B121" i="1"/>
  <c r="A121" i="1"/>
  <c r="E120" i="1"/>
  <c r="C120" i="1"/>
  <c r="B120" i="1"/>
  <c r="A120" i="1"/>
  <c r="E119" i="1"/>
  <c r="C119" i="1"/>
  <c r="B119" i="1"/>
  <c r="A119" i="1"/>
  <c r="E118" i="1"/>
  <c r="C118" i="1"/>
  <c r="B118" i="1"/>
  <c r="A118" i="1"/>
  <c r="E117" i="1"/>
  <c r="C117" i="1"/>
  <c r="B117" i="1"/>
  <c r="A117" i="1"/>
  <c r="E116" i="1"/>
  <c r="C116" i="1"/>
  <c r="B116" i="1"/>
  <c r="A116" i="1"/>
  <c r="E115" i="1"/>
  <c r="C115" i="1"/>
  <c r="B115" i="1"/>
  <c r="A115" i="1"/>
  <c r="E114" i="1"/>
  <c r="C114" i="1"/>
  <c r="B114" i="1"/>
  <c r="A114" i="1"/>
  <c r="E113" i="1"/>
  <c r="C113" i="1"/>
  <c r="B113" i="1"/>
  <c r="A113" i="1"/>
  <c r="E112" i="1"/>
  <c r="C112" i="1"/>
  <c r="B112" i="1"/>
  <c r="A112" i="1"/>
  <c r="E111" i="1"/>
  <c r="C111" i="1"/>
  <c r="B111" i="1"/>
  <c r="A111" i="1"/>
  <c r="E110" i="1"/>
  <c r="C110" i="1"/>
  <c r="B110" i="1"/>
  <c r="A110" i="1"/>
  <c r="E109" i="1"/>
  <c r="C109" i="1"/>
  <c r="B109" i="1"/>
  <c r="A109" i="1"/>
  <c r="E108" i="1"/>
  <c r="C108" i="1"/>
  <c r="B108" i="1"/>
  <c r="A108" i="1"/>
  <c r="E107" i="1"/>
  <c r="C107" i="1"/>
  <c r="B107" i="1"/>
  <c r="A107" i="1"/>
  <c r="E106" i="1"/>
  <c r="C106" i="1"/>
  <c r="B106" i="1"/>
  <c r="A106" i="1"/>
  <c r="E105" i="1"/>
  <c r="C105" i="1"/>
  <c r="B105" i="1"/>
  <c r="A105" i="1"/>
  <c r="E104" i="1"/>
  <c r="C104" i="1"/>
  <c r="B104" i="1"/>
  <c r="A104" i="1"/>
  <c r="E103" i="1"/>
  <c r="C103" i="1"/>
  <c r="B103" i="1"/>
  <c r="A103" i="1"/>
  <c r="E102" i="1"/>
  <c r="C102" i="1"/>
  <c r="B102" i="1"/>
  <c r="A102" i="1"/>
  <c r="E101" i="1"/>
  <c r="C101" i="1"/>
  <c r="B101" i="1"/>
  <c r="A101" i="1"/>
  <c r="E100" i="1"/>
  <c r="C100" i="1"/>
  <c r="B100" i="1"/>
  <c r="A100" i="1"/>
  <c r="E99" i="1"/>
  <c r="C99" i="1"/>
  <c r="B99" i="1"/>
  <c r="A99" i="1"/>
  <c r="E98" i="1"/>
  <c r="C98" i="1"/>
  <c r="B98" i="1"/>
  <c r="A98" i="1"/>
  <c r="E97" i="1"/>
  <c r="C97" i="1"/>
  <c r="B97" i="1"/>
  <c r="A97" i="1"/>
  <c r="E96" i="1"/>
  <c r="C96" i="1"/>
  <c r="B96" i="1"/>
  <c r="A96" i="1"/>
  <c r="E95" i="1"/>
  <c r="C95" i="1"/>
  <c r="B95" i="1"/>
  <c r="A95" i="1"/>
  <c r="E94" i="1"/>
  <c r="C94" i="1"/>
  <c r="B94" i="1"/>
  <c r="A94" i="1"/>
  <c r="E93" i="1"/>
  <c r="C93" i="1"/>
  <c r="B93" i="1"/>
  <c r="A93" i="1"/>
  <c r="E92" i="1"/>
  <c r="C92" i="1"/>
  <c r="B92" i="1"/>
  <c r="A92" i="1"/>
  <c r="E91" i="1"/>
  <c r="C91" i="1"/>
  <c r="B91" i="1"/>
  <c r="A91" i="1"/>
  <c r="E90" i="1"/>
  <c r="C90" i="1"/>
  <c r="B90" i="1"/>
  <c r="A90" i="1"/>
  <c r="E89" i="1"/>
  <c r="C89" i="1"/>
  <c r="B89" i="1"/>
  <c r="A89" i="1"/>
  <c r="E88" i="1"/>
  <c r="C88" i="1"/>
  <c r="B88" i="1"/>
  <c r="A88" i="1"/>
  <c r="E87" i="1"/>
  <c r="C87" i="1"/>
  <c r="B87" i="1"/>
  <c r="A87" i="1"/>
  <c r="E86" i="1"/>
  <c r="C86" i="1"/>
  <c r="B86" i="1"/>
  <c r="A86" i="1"/>
  <c r="E85" i="1"/>
  <c r="C85" i="1"/>
  <c r="B85" i="1"/>
  <c r="A85" i="1"/>
  <c r="E84" i="1"/>
  <c r="C84" i="1"/>
  <c r="B84" i="1"/>
  <c r="A84" i="1"/>
  <c r="E83" i="1"/>
  <c r="C83" i="1"/>
  <c r="B83" i="1"/>
  <c r="A83" i="1"/>
  <c r="E82" i="1"/>
  <c r="C82" i="1"/>
  <c r="B82" i="1"/>
  <c r="A82" i="1"/>
  <c r="E81" i="1"/>
  <c r="C81" i="1"/>
  <c r="B81" i="1"/>
  <c r="A81" i="1"/>
  <c r="E80" i="1"/>
  <c r="C80" i="1"/>
  <c r="B80" i="1"/>
  <c r="A80" i="1"/>
  <c r="E79" i="1"/>
  <c r="C79" i="1"/>
  <c r="B79" i="1"/>
  <c r="A79" i="1"/>
  <c r="E78" i="1"/>
  <c r="C78" i="1"/>
  <c r="B78" i="1"/>
  <c r="A78" i="1"/>
  <c r="E77" i="1"/>
  <c r="C77" i="1"/>
  <c r="B77" i="1"/>
  <c r="A77" i="1"/>
  <c r="E76" i="1"/>
  <c r="C76" i="1"/>
  <c r="B76" i="1"/>
  <c r="A76" i="1"/>
  <c r="E75" i="1"/>
  <c r="C75" i="1"/>
  <c r="B75" i="1"/>
  <c r="A75" i="1"/>
  <c r="E74" i="1"/>
  <c r="C74" i="1"/>
  <c r="B74" i="1"/>
  <c r="A74" i="1"/>
  <c r="E73" i="1"/>
  <c r="C73" i="1"/>
  <c r="B73" i="1"/>
  <c r="A73" i="1"/>
  <c r="E72" i="1"/>
  <c r="C72" i="1"/>
  <c r="B72" i="1"/>
  <c r="A72" i="1"/>
  <c r="E71" i="1"/>
  <c r="C71" i="1"/>
  <c r="B71" i="1"/>
  <c r="A71" i="1"/>
  <c r="E70" i="1"/>
  <c r="C70" i="1"/>
  <c r="B70" i="1"/>
  <c r="A70" i="1"/>
  <c r="E69" i="1"/>
  <c r="C69" i="1"/>
  <c r="B69" i="1"/>
  <c r="A69" i="1"/>
  <c r="E68" i="1"/>
  <c r="C68" i="1"/>
  <c r="B68" i="1"/>
  <c r="A68" i="1"/>
  <c r="E67" i="1"/>
  <c r="C67" i="1"/>
  <c r="B67" i="1"/>
  <c r="A67" i="1"/>
  <c r="E66" i="1"/>
  <c r="C66" i="1"/>
  <c r="B66" i="1"/>
  <c r="A66" i="1"/>
  <c r="E65" i="1"/>
  <c r="C65" i="1"/>
  <c r="B65" i="1"/>
  <c r="A65" i="1"/>
  <c r="E64" i="1"/>
  <c r="C64" i="1"/>
  <c r="B64" i="1"/>
  <c r="A64" i="1"/>
  <c r="E63" i="1"/>
  <c r="C63" i="1"/>
  <c r="B63" i="1"/>
  <c r="A63" i="1"/>
  <c r="E62" i="1"/>
  <c r="C62" i="1"/>
  <c r="B62" i="1"/>
  <c r="A62" i="1"/>
  <c r="E61" i="1"/>
  <c r="C61" i="1"/>
  <c r="B61" i="1"/>
  <c r="A61" i="1"/>
  <c r="E60" i="1"/>
  <c r="C60" i="1"/>
  <c r="B60" i="1"/>
  <c r="A60" i="1"/>
  <c r="E59" i="1"/>
  <c r="C59" i="1"/>
  <c r="B59" i="1"/>
  <c r="A59" i="1"/>
  <c r="E58" i="1"/>
  <c r="C58" i="1"/>
  <c r="B58" i="1"/>
  <c r="A58" i="1"/>
  <c r="E57" i="1"/>
  <c r="C57" i="1"/>
  <c r="B57" i="1"/>
  <c r="A57" i="1"/>
  <c r="E56" i="1"/>
  <c r="C56" i="1"/>
  <c r="B56" i="1"/>
  <c r="A56" i="1"/>
  <c r="E55" i="1"/>
  <c r="C55" i="1"/>
  <c r="B55" i="1"/>
  <c r="A55" i="1"/>
  <c r="E54" i="1"/>
  <c r="C54" i="1"/>
  <c r="B54" i="1"/>
  <c r="A54" i="1"/>
  <c r="E53" i="1"/>
  <c r="C53" i="1"/>
  <c r="B53" i="1"/>
  <c r="A53" i="1"/>
  <c r="E52" i="1"/>
  <c r="C52" i="1"/>
  <c r="B52" i="1"/>
  <c r="A52" i="1"/>
  <c r="E51" i="1"/>
  <c r="C51" i="1"/>
  <c r="B51" i="1"/>
  <c r="A51" i="1"/>
  <c r="E50" i="1"/>
  <c r="C50" i="1"/>
  <c r="B50" i="1"/>
  <c r="A50" i="1"/>
  <c r="E49" i="1"/>
  <c r="C49" i="1"/>
  <c r="B49" i="1"/>
  <c r="A49" i="1"/>
  <c r="E48" i="1"/>
  <c r="C48" i="1"/>
  <c r="B48" i="1"/>
  <c r="A48" i="1"/>
  <c r="E47" i="1"/>
  <c r="C47" i="1"/>
  <c r="B47" i="1"/>
  <c r="A47" i="1"/>
  <c r="E46" i="1"/>
  <c r="C46" i="1"/>
  <c r="B46" i="1"/>
  <c r="A46" i="1"/>
  <c r="E45" i="1"/>
  <c r="C45" i="1"/>
  <c r="B45" i="1"/>
  <c r="A45" i="1"/>
  <c r="E44" i="1"/>
  <c r="C44" i="1"/>
  <c r="B44" i="1"/>
  <c r="A44" i="1"/>
  <c r="E43" i="1"/>
  <c r="C43" i="1"/>
  <c r="B43" i="1"/>
  <c r="A43" i="1"/>
  <c r="E42" i="1"/>
  <c r="C42" i="1"/>
  <c r="B42" i="1"/>
  <c r="A42" i="1"/>
  <c r="E41" i="1"/>
  <c r="C41" i="1"/>
  <c r="B41" i="1"/>
  <c r="A41" i="1"/>
  <c r="E40" i="1"/>
  <c r="C40" i="1"/>
  <c r="B40" i="1"/>
  <c r="A40" i="1"/>
  <c r="E39" i="1"/>
  <c r="C39" i="1"/>
  <c r="B39" i="1"/>
  <c r="A39" i="1"/>
  <c r="E38" i="1"/>
  <c r="C38" i="1"/>
  <c r="B38" i="1"/>
  <c r="A38" i="1"/>
  <c r="E37" i="1"/>
  <c r="C37" i="1"/>
  <c r="B37" i="1"/>
  <c r="A37" i="1"/>
  <c r="E36" i="1"/>
  <c r="C36" i="1"/>
  <c r="B36" i="1"/>
  <c r="A36" i="1"/>
  <c r="E35" i="1"/>
  <c r="C35" i="1"/>
  <c r="B35" i="1"/>
  <c r="A35" i="1"/>
  <c r="E34" i="1"/>
  <c r="C34" i="1"/>
  <c r="B34" i="1"/>
  <c r="A34" i="1"/>
  <c r="E33" i="1"/>
  <c r="C33" i="1"/>
  <c r="B33" i="1"/>
  <c r="A33" i="1"/>
  <c r="E32" i="1"/>
  <c r="C32" i="1"/>
  <c r="B32" i="1"/>
  <c r="A32" i="1"/>
  <c r="E31" i="1"/>
  <c r="C31" i="1"/>
  <c r="B31" i="1"/>
  <c r="A31" i="1"/>
  <c r="E30" i="1"/>
  <c r="C30" i="1"/>
  <c r="B30" i="1"/>
  <c r="A30" i="1"/>
  <c r="E29" i="1"/>
  <c r="C29" i="1"/>
  <c r="B29" i="1"/>
  <c r="A29" i="1"/>
  <c r="E28" i="1"/>
  <c r="C28" i="1"/>
  <c r="B28" i="1"/>
  <c r="A28" i="1"/>
  <c r="E27" i="1"/>
  <c r="C27" i="1"/>
  <c r="B27" i="1"/>
  <c r="A27" i="1"/>
  <c r="E26" i="1"/>
  <c r="C26" i="1"/>
  <c r="B26" i="1"/>
  <c r="A26" i="1"/>
  <c r="E25" i="1"/>
  <c r="C25" i="1"/>
  <c r="B25" i="1"/>
  <c r="A25" i="1"/>
  <c r="E24" i="1"/>
  <c r="C24" i="1"/>
  <c r="B24" i="1"/>
  <c r="A24" i="1"/>
  <c r="E23" i="1"/>
  <c r="C23" i="1"/>
  <c r="B23" i="1"/>
  <c r="A23" i="1"/>
  <c r="E22" i="1"/>
  <c r="C22" i="1"/>
  <c r="B22" i="1"/>
  <c r="A22" i="1"/>
  <c r="E21" i="1"/>
  <c r="C21" i="1"/>
  <c r="B21" i="1"/>
  <c r="A21" i="1"/>
  <c r="E20" i="1"/>
  <c r="C20" i="1"/>
  <c r="B20" i="1"/>
  <c r="A20" i="1"/>
  <c r="E19" i="1"/>
  <c r="C19" i="1"/>
  <c r="B19" i="1"/>
  <c r="A19" i="1"/>
  <c r="E18" i="1"/>
  <c r="C18" i="1"/>
  <c r="B18" i="1"/>
  <c r="A18" i="1"/>
  <c r="E17" i="1"/>
  <c r="C17" i="1"/>
  <c r="B17" i="1"/>
  <c r="A17" i="1"/>
  <c r="E16" i="1"/>
  <c r="C16" i="1"/>
  <c r="B16" i="1"/>
  <c r="A16" i="1"/>
  <c r="E15" i="1"/>
  <c r="C15" i="1"/>
  <c r="B15" i="1"/>
  <c r="A15" i="1"/>
  <c r="E14" i="1"/>
  <c r="C14" i="1"/>
  <c r="B14" i="1"/>
  <c r="A14" i="1"/>
  <c r="E13" i="1"/>
  <c r="C13" i="1"/>
  <c r="B13" i="1"/>
  <c r="A13" i="1"/>
  <c r="E12" i="1"/>
  <c r="C12" i="1"/>
  <c r="B12" i="1"/>
  <c r="A12" i="1"/>
  <c r="E11" i="1"/>
  <c r="C11" i="1"/>
  <c r="B11" i="1"/>
  <c r="A11" i="1"/>
  <c r="E10" i="1"/>
  <c r="C10" i="1"/>
  <c r="B10" i="1"/>
  <c r="A10" i="1"/>
  <c r="E9" i="1"/>
  <c r="C9" i="1"/>
  <c r="B9" i="1"/>
  <c r="A9" i="1"/>
  <c r="E8" i="1"/>
  <c r="C8" i="1"/>
  <c r="B8" i="1"/>
  <c r="A8" i="1"/>
  <c r="E7" i="1"/>
  <c r="C7" i="1"/>
  <c r="B7" i="1"/>
  <c r="A7" i="1"/>
  <c r="E6" i="1"/>
  <c r="C6" i="1"/>
  <c r="B6" i="1"/>
  <c r="A6" i="1"/>
  <c r="E5" i="1"/>
  <c r="C5" i="1"/>
  <c r="B5" i="1"/>
  <c r="A5" i="1"/>
  <c r="E4" i="1"/>
  <c r="C4" i="1"/>
  <c r="B4" i="1"/>
  <c r="A4" i="1"/>
  <c r="E3" i="1"/>
  <c r="C3" i="1"/>
  <c r="B3" i="1"/>
  <c r="A3" i="1"/>
  <c r="A1" i="1"/>
</calcChain>
</file>

<file path=xl/sharedStrings.xml><?xml version="1.0" encoding="utf-8"?>
<sst xmlns="http://schemas.openxmlformats.org/spreadsheetml/2006/main" count="8" uniqueCount="8">
  <si>
    <t>Estabelecimento</t>
  </si>
  <si>
    <t>Cargo Básico-Descrição</t>
  </si>
  <si>
    <t>Centro Custo-Descrição</t>
  </si>
  <si>
    <t>Matrícula</t>
  </si>
  <si>
    <t>Nome</t>
  </si>
  <si>
    <t>Pronac Theatro</t>
  </si>
  <si>
    <t>CG Tatui</t>
  </si>
  <si>
    <t>Pronac Musicou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</si>
</sst>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[$]@"/>
  </numFmts>
  <fonts count="4" x14ac:knownFonts="1"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0" fillId="0" borderId="2" xfId="0" applyBorder="1"/>
    <xf numFmtId="164" fontId="0" fillId="0" borderId="1" xfId="0" applyNumberFormat="1" applyBorder="1"/>
    <xf numFmtId="0" fontId="0" fillId="0" borderId="1" xfId="0" applyBorder="1"/>
    <xf numFmtId="0" fontId="3" fillId="3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0" fillId="0" borderId="3" xfId="0" applyBorder="1"/>
    <xf numFmtId="164" fontId="2" fillId="2" borderId="3" xfId="0" applyNumberFormat="1" applyFont="1" applyFill="1" applyBorder="1"/>
    <xf numFmtId="0" fontId="2" fillId="2" borderId="3" xfId="0" applyFont="1" applyFill="1" applyBorder="1"/>
    <xf numFmtId="164" fontId="0" fillId="0" borderId="3" xfId="0" applyNumberFormat="1" applyBorder="1"/>
    <xf numFmtId="10" fontId="0" fillId="0" borderId="3" xfId="0" applyNumberFormat="1" applyBorder="1"/>
    <xf numFmtId="9" fontId="0" fillId="0" borderId="3" xfId="0" applyNumberFormat="1" applyBorder="1"/>
  </cellXfs>
  <cellStyles count="2"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51"/>
  <sheetViews>
    <sheetView tabSelected="1" zoomScaleNormal="100" workbookViewId="0">
      <selection activeCell="C8" sqref="C8"/>
    </sheetView>
  </sheetViews>
  <sheetFormatPr defaultColWidth="11.5703125" defaultRowHeight="12.75" x14ac:dyDescent="0.2"/>
  <cols>
    <col min="1" max="1" width="4.5703125" style="1" customWidth="1"/>
    <col min="2" max="2" width="26.140625" style="1" customWidth="1"/>
    <col min="3" max="3" width="20.140625" style="1" customWidth="1"/>
    <col min="4" max="4" width="9.42578125" customWidth="1"/>
    <col min="5" max="5" width="48.7109375" style="1" bestFit="1" customWidth="1"/>
    <col min="6" max="6" width="16.140625" bestFit="1" customWidth="1"/>
    <col min="8" max="8" width="14.28515625" customWidth="1"/>
  </cols>
  <sheetData>
    <row r="1" spans="1:8" x14ac:dyDescent="0.2">
      <c r="A1" s="7" t="str">
        <f>"Funcionários"</f>
        <v>Funcionários</v>
      </c>
      <c r="B1" s="7"/>
      <c r="C1" s="7"/>
      <c r="D1" s="7"/>
      <c r="E1" s="7"/>
      <c r="F1" s="8"/>
      <c r="G1" s="8"/>
      <c r="H1" s="8"/>
    </row>
    <row r="2" spans="1:8" ht="15" x14ac:dyDescent="0.25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6" t="s">
        <v>5</v>
      </c>
      <c r="G2" s="6" t="s">
        <v>6</v>
      </c>
      <c r="H2" s="6" t="s">
        <v>7</v>
      </c>
    </row>
    <row r="3" spans="1:8" x14ac:dyDescent="0.2">
      <c r="A3" s="11" t="str">
        <f t="shared" ref="A3:A34" si="0">"1"</f>
        <v>1</v>
      </c>
      <c r="B3" s="11" t="str">
        <f>"Gerente Juridico II"</f>
        <v>Gerente Juridico II</v>
      </c>
      <c r="C3" s="11" t="str">
        <f>"Assessoria Juridica"</f>
        <v>Assessoria Juridica</v>
      </c>
      <c r="D3" s="8">
        <v>34972</v>
      </c>
      <c r="E3" s="11" t="str">
        <f>"ADLINE DEBUS POZZEBON"</f>
        <v>ADLINE DEBUS POZZEBON</v>
      </c>
      <c r="F3" s="12">
        <v>0.55000000000000004</v>
      </c>
      <c r="G3" s="12">
        <v>0.4</v>
      </c>
      <c r="H3" s="12">
        <v>0.05</v>
      </c>
    </row>
    <row r="4" spans="1:8" x14ac:dyDescent="0.2">
      <c r="A4" s="11" t="str">
        <f t="shared" si="0"/>
        <v>1</v>
      </c>
      <c r="B4" s="11" t="str">
        <f>"Diretor Executivo"</f>
        <v>Diretor Executivo</v>
      </c>
      <c r="C4" s="11" t="str">
        <f>"Diretoria Executiva"</f>
        <v>Diretoria Executiva</v>
      </c>
      <c r="D4" s="8">
        <v>34500</v>
      </c>
      <c r="E4" s="11" t="str">
        <f>"ALESSANDRA FERNANDEZ ALVES DA COSTA"</f>
        <v>ALESSANDRA FERNANDEZ ALVES DA COSTA</v>
      </c>
      <c r="F4" s="12">
        <v>0.55000000000000004</v>
      </c>
      <c r="G4" s="12">
        <v>0.32500000000000001</v>
      </c>
      <c r="H4" s="12">
        <v>0.125</v>
      </c>
    </row>
    <row r="5" spans="1:8" x14ac:dyDescent="0.2">
      <c r="A5" s="11" t="str">
        <f t="shared" si="0"/>
        <v>1</v>
      </c>
      <c r="B5" s="11" t="str">
        <f>"Assistente Educacional"</f>
        <v>Assistente Educacional</v>
      </c>
      <c r="C5" s="11" t="str">
        <f>"SEDUC - Artistico"</f>
        <v>SEDUC - Artistico</v>
      </c>
      <c r="D5" s="8">
        <v>30200</v>
      </c>
      <c r="E5" s="11" t="str">
        <f>"ALEXANDRE PICHOLARI"</f>
        <v>ALEXANDRE PICHOLARI</v>
      </c>
      <c r="F5" s="8"/>
      <c r="G5" s="13">
        <v>0.8</v>
      </c>
      <c r="H5" s="12">
        <v>0.2</v>
      </c>
    </row>
    <row r="6" spans="1:8" x14ac:dyDescent="0.2">
      <c r="A6" s="11" t="str">
        <f t="shared" si="0"/>
        <v>1</v>
      </c>
      <c r="B6" s="11" t="str">
        <f>"Educador Musical I"</f>
        <v>Educador Musical I</v>
      </c>
      <c r="C6" s="11" t="str">
        <f>"MUSICOU QUIXERAMOBIM (NE)"</f>
        <v>MUSICOU QUIXERAMOBIM (NE)</v>
      </c>
      <c r="D6" s="8">
        <v>35131</v>
      </c>
      <c r="E6" s="11" t="str">
        <f>"ALISON NUNES MAMEDE"</f>
        <v>ALISON NUNES MAMEDE</v>
      </c>
      <c r="F6" s="8"/>
      <c r="G6" s="8"/>
      <c r="H6" s="12">
        <v>1</v>
      </c>
    </row>
    <row r="7" spans="1:8" x14ac:dyDescent="0.2">
      <c r="A7" s="11" t="str">
        <f t="shared" si="0"/>
        <v>1</v>
      </c>
      <c r="B7" s="11" t="str">
        <f>"Gerente de Recursos Humanos I"</f>
        <v>Gerente de Recursos Humanos I</v>
      </c>
      <c r="C7" s="11" t="str">
        <f>"Recursos Humanos / Depto Pessoal"</f>
        <v>Recursos Humanos / Depto Pessoal</v>
      </c>
      <c r="D7" s="8">
        <v>35092</v>
      </c>
      <c r="E7" s="11" t="str">
        <f>"ANA CRISTINA CESAR LEITE"</f>
        <v>ANA CRISTINA CESAR LEITE</v>
      </c>
      <c r="F7" s="12">
        <v>0.55000000000000004</v>
      </c>
      <c r="G7" s="12">
        <v>0.32500000000000001</v>
      </c>
      <c r="H7" s="12">
        <v>0.125</v>
      </c>
    </row>
    <row r="8" spans="1:8" x14ac:dyDescent="0.2">
      <c r="A8" s="11" t="str">
        <f t="shared" si="0"/>
        <v>1</v>
      </c>
      <c r="B8" s="11" t="str">
        <f>"Gerente Financeiro II"</f>
        <v>Gerente Financeiro II</v>
      </c>
      <c r="C8" s="11" t="str">
        <f>"Financeiro"</f>
        <v>Financeiro</v>
      </c>
      <c r="D8" s="8">
        <v>32486</v>
      </c>
      <c r="E8" s="11" t="str">
        <f>"ANA CRISTINA MEIRA COELHO MASCARENHAS"</f>
        <v>ANA CRISTINA MEIRA COELHO MASCARENHAS</v>
      </c>
      <c r="F8" s="12">
        <v>0.55000000000000004</v>
      </c>
      <c r="G8" s="12">
        <v>0.32500000000000001</v>
      </c>
      <c r="H8" s="12">
        <v>0.125</v>
      </c>
    </row>
    <row r="9" spans="1:8" x14ac:dyDescent="0.2">
      <c r="A9" s="11" t="str">
        <f t="shared" si="0"/>
        <v>1</v>
      </c>
      <c r="B9" s="11" t="str">
        <f>"Coordenador de Polo - 20h"</f>
        <v>Coordenador de Polo - 20h</v>
      </c>
      <c r="C9" s="11" t="str">
        <f>"MUSICOU ANDIRA"</f>
        <v>MUSICOU ANDIRA</v>
      </c>
      <c r="D9" s="8">
        <v>35105</v>
      </c>
      <c r="E9" s="11" t="str">
        <f>"ANA GABRIELE GARCIA"</f>
        <v>ANA GABRIELE GARCIA</v>
      </c>
      <c r="F9" s="8"/>
      <c r="G9" s="8"/>
      <c r="H9" s="12">
        <v>1</v>
      </c>
    </row>
    <row r="10" spans="1:8" x14ac:dyDescent="0.2">
      <c r="A10" s="11" t="str">
        <f t="shared" si="0"/>
        <v>1</v>
      </c>
      <c r="B10" s="11" t="str">
        <f>"Coordenador de Polo - 20h"</f>
        <v>Coordenador de Polo - 20h</v>
      </c>
      <c r="C10" s="11" t="str">
        <f>"MUSICOU PORECATU"</f>
        <v>MUSICOU PORECATU</v>
      </c>
      <c r="D10" s="8">
        <v>35052</v>
      </c>
      <c r="E10" s="11" t="str">
        <f>"ANA LUCIA DOS SANTOS"</f>
        <v>ANA LUCIA DOS SANTOS</v>
      </c>
      <c r="F10" s="8"/>
      <c r="G10" s="8"/>
      <c r="H10" s="12">
        <v>1</v>
      </c>
    </row>
    <row r="11" spans="1:8" x14ac:dyDescent="0.2">
      <c r="A11" s="11" t="str">
        <f t="shared" si="0"/>
        <v>1</v>
      </c>
      <c r="B11" s="11" t="str">
        <f>"Coordenador de Polo - 20h"</f>
        <v>Coordenador de Polo - 20h</v>
      </c>
      <c r="C11" s="11" t="str">
        <f>"MUSICOU OLINDA"</f>
        <v>MUSICOU OLINDA</v>
      </c>
      <c r="D11" s="8">
        <v>35115</v>
      </c>
      <c r="E11" s="11" t="str">
        <f>"ANDREA FERREIRA DA SILVA"</f>
        <v>ANDREA FERREIRA DA SILVA</v>
      </c>
      <c r="F11" s="8"/>
      <c r="G11" s="8"/>
      <c r="H11" s="12">
        <v>1</v>
      </c>
    </row>
    <row r="12" spans="1:8" x14ac:dyDescent="0.2">
      <c r="A12" s="11" t="str">
        <f t="shared" si="0"/>
        <v>1</v>
      </c>
      <c r="B12" s="11" t="str">
        <f>"Coordenador de Polo - 20h"</f>
        <v>Coordenador de Polo - 20h</v>
      </c>
      <c r="C12" s="11" t="str">
        <f>"MUSICOU FORTALEZA"</f>
        <v>MUSICOU FORTALEZA</v>
      </c>
      <c r="D12" s="8">
        <v>35053</v>
      </c>
      <c r="E12" s="11" t="str">
        <f>"ANDREIA SOUSA PEREIRA"</f>
        <v>ANDREIA SOUSA PEREIRA</v>
      </c>
      <c r="F12" s="8"/>
      <c r="G12" s="8"/>
      <c r="H12" s="12">
        <v>1</v>
      </c>
    </row>
    <row r="13" spans="1:8" x14ac:dyDescent="0.2">
      <c r="A13" s="11" t="str">
        <f t="shared" si="0"/>
        <v>1</v>
      </c>
      <c r="B13" s="11" t="str">
        <f>"Educador Musical I"</f>
        <v>Educador Musical I</v>
      </c>
      <c r="C13" s="11" t="str">
        <f>"MUSICOU FORTALEZA"</f>
        <v>MUSICOU FORTALEZA</v>
      </c>
      <c r="D13" s="8">
        <v>35067</v>
      </c>
      <c r="E13" s="11" t="str">
        <f>"ANTONIO CLAUDIO DE MENESES BITTENCOURT"</f>
        <v>ANTONIO CLAUDIO DE MENESES BITTENCOURT</v>
      </c>
      <c r="F13" s="8"/>
      <c r="G13" s="8"/>
      <c r="H13" s="12">
        <v>1</v>
      </c>
    </row>
    <row r="14" spans="1:8" x14ac:dyDescent="0.2">
      <c r="A14" s="11" t="str">
        <f t="shared" si="0"/>
        <v>1</v>
      </c>
      <c r="B14" s="11" t="str">
        <f>"Coordenador de Polo - 20h"</f>
        <v>Coordenador de Polo - 20h</v>
      </c>
      <c r="C14" s="11" t="str">
        <f>"MUSICOU QUIXADÁ (NE)"</f>
        <v>MUSICOU QUIXADÁ (NE)</v>
      </c>
      <c r="D14" s="8">
        <v>35117</v>
      </c>
      <c r="E14" s="11" t="str">
        <f>"ANTONIO VICTOR DE SOUSA FRANCA"</f>
        <v>ANTONIO VICTOR DE SOUSA FRANCA</v>
      </c>
      <c r="F14" s="8"/>
      <c r="G14" s="8"/>
      <c r="H14" s="12">
        <v>1</v>
      </c>
    </row>
    <row r="15" spans="1:8" x14ac:dyDescent="0.2">
      <c r="A15" s="11" t="str">
        <f t="shared" si="0"/>
        <v>1</v>
      </c>
      <c r="B15" s="11" t="str">
        <f>"Coordenador de Polo - 20h"</f>
        <v>Coordenador de Polo - 20h</v>
      </c>
      <c r="C15" s="11" t="str">
        <f>"MUSICOU PAULÍNIA"</f>
        <v>MUSICOU PAULÍNIA</v>
      </c>
      <c r="D15" s="8">
        <v>35116</v>
      </c>
      <c r="E15" s="11" t="str">
        <f>"BRUNO LEONARDO SOARES MARTINS"</f>
        <v>BRUNO LEONARDO SOARES MARTINS</v>
      </c>
      <c r="F15" s="8"/>
      <c r="G15" s="8"/>
      <c r="H15" s="12">
        <v>1</v>
      </c>
    </row>
    <row r="16" spans="1:8" x14ac:dyDescent="0.2">
      <c r="A16" s="11" t="str">
        <f t="shared" si="0"/>
        <v>1</v>
      </c>
      <c r="B16" s="11" t="str">
        <f>"Gerente Producao Eventos II"</f>
        <v>Gerente Producao Eventos II</v>
      </c>
      <c r="C16" s="11" t="str">
        <f>"Produção e Eventos"</f>
        <v>Produção e Eventos</v>
      </c>
      <c r="D16" s="8">
        <v>34584</v>
      </c>
      <c r="E16" s="11" t="str">
        <f>"CAMILA DE OLIVEIRA SILVA"</f>
        <v>CAMILA DE OLIVEIRA SILVA</v>
      </c>
      <c r="F16" s="8"/>
      <c r="G16" s="12">
        <v>0.9</v>
      </c>
      <c r="H16" s="12">
        <v>0.1</v>
      </c>
    </row>
    <row r="17" spans="1:8" x14ac:dyDescent="0.2">
      <c r="A17" s="11" t="str">
        <f t="shared" si="0"/>
        <v>1</v>
      </c>
      <c r="B17" s="11" t="str">
        <f>"Analista Administracao Pessoal SR"</f>
        <v>Analista Administracao Pessoal SR</v>
      </c>
      <c r="C17" s="11" t="str">
        <f>"Recursos Humanos / Depto Pessoal"</f>
        <v>Recursos Humanos / Depto Pessoal</v>
      </c>
      <c r="D17" s="8">
        <v>35060</v>
      </c>
      <c r="E17" s="11" t="str">
        <f>"CAMILA FRANCISCO MALVEIRO"</f>
        <v>CAMILA FRANCISCO MALVEIRO</v>
      </c>
      <c r="F17" s="8"/>
      <c r="G17" s="12">
        <v>0.9</v>
      </c>
      <c r="H17" s="13">
        <v>0.1</v>
      </c>
    </row>
    <row r="18" spans="1:8" x14ac:dyDescent="0.2">
      <c r="A18" s="11" t="str">
        <f t="shared" si="0"/>
        <v>1</v>
      </c>
      <c r="B18" s="11" t="str">
        <f>"Coordenador de Polo - 20h"</f>
        <v>Coordenador de Polo - 20h</v>
      </c>
      <c r="C18" s="11" t="str">
        <f>"MUSICOU JACAREZINHO"</f>
        <v>MUSICOU JACAREZINHO</v>
      </c>
      <c r="D18" s="8">
        <v>35099</v>
      </c>
      <c r="E18" s="11" t="str">
        <f>"CAMILA ROSA MARTINS CHAGAS"</f>
        <v>CAMILA ROSA MARTINS CHAGAS</v>
      </c>
      <c r="F18" s="8"/>
      <c r="G18" s="8"/>
      <c r="H18" s="12">
        <v>1</v>
      </c>
    </row>
    <row r="19" spans="1:8" x14ac:dyDescent="0.2">
      <c r="A19" s="11" t="str">
        <f t="shared" si="0"/>
        <v>1</v>
      </c>
      <c r="B19" s="11" t="str">
        <f>"Analista de Controladoria SR"</f>
        <v>Analista de Controladoria SR</v>
      </c>
      <c r="C19" s="11" t="str">
        <f>"Controladoria"</f>
        <v>Controladoria</v>
      </c>
      <c r="D19" s="8">
        <v>35113</v>
      </c>
      <c r="E19" s="11" t="str">
        <f>"CIBELE AFFONSO GALEOTI"</f>
        <v>CIBELE AFFONSO GALEOTI</v>
      </c>
      <c r="F19" s="8"/>
      <c r="G19" s="12">
        <v>0.9</v>
      </c>
      <c r="H19" s="12">
        <v>0.1</v>
      </c>
    </row>
    <row r="20" spans="1:8" x14ac:dyDescent="0.2">
      <c r="A20" s="11" t="str">
        <f t="shared" si="0"/>
        <v>1</v>
      </c>
      <c r="B20" s="11" t="str">
        <f>"Coordenador de Polo - 20h"</f>
        <v>Coordenador de Polo - 20h</v>
      </c>
      <c r="C20" s="11" t="str">
        <f>"MUSICOU EUCLIDES DA CUNHA PAULISTA"</f>
        <v>MUSICOU EUCLIDES DA CUNHA PAULISTA</v>
      </c>
      <c r="D20" s="8">
        <v>35118</v>
      </c>
      <c r="E20" s="11" t="str">
        <f>"CIBELE GENEROSO ARAUJO"</f>
        <v>CIBELE GENEROSO ARAUJO</v>
      </c>
      <c r="F20" s="8"/>
      <c r="G20" s="8"/>
      <c r="H20" s="12">
        <v>1</v>
      </c>
    </row>
    <row r="21" spans="1:8" x14ac:dyDescent="0.2">
      <c r="A21" s="11" t="str">
        <f t="shared" si="0"/>
        <v>1</v>
      </c>
      <c r="B21" s="11" t="str">
        <f>"Superintendente Educacional"</f>
        <v>Superintendente Educacional</v>
      </c>
      <c r="C21" s="11" t="str">
        <f>"Sup.Educacional"</f>
        <v>Sup.Educacional</v>
      </c>
      <c r="D21" s="8">
        <v>33704</v>
      </c>
      <c r="E21" s="11" t="str">
        <f>"CLAUDIA MARADEI FREIXEDAS"</f>
        <v>CLAUDIA MARADEI FREIXEDAS</v>
      </c>
      <c r="F21" s="8"/>
      <c r="G21" s="12">
        <v>0.9</v>
      </c>
      <c r="H21" s="12">
        <v>0.1</v>
      </c>
    </row>
    <row r="22" spans="1:8" x14ac:dyDescent="0.2">
      <c r="A22" s="11" t="str">
        <f t="shared" si="0"/>
        <v>1</v>
      </c>
      <c r="B22" s="11" t="str">
        <f>"Gerente de Controladoria II"</f>
        <v>Gerente de Controladoria II</v>
      </c>
      <c r="C22" s="11" t="str">
        <f>"Controladoria"</f>
        <v>Controladoria</v>
      </c>
      <c r="D22" s="8">
        <v>35073</v>
      </c>
      <c r="E22" s="11" t="str">
        <f>"DANILO CEZAR SILVEIRA ARRUDA"</f>
        <v>DANILO CEZAR SILVEIRA ARRUDA</v>
      </c>
      <c r="F22" s="12">
        <v>0.55000000000000004</v>
      </c>
      <c r="G22" s="12">
        <v>0.4</v>
      </c>
      <c r="H22" s="12">
        <v>0.05</v>
      </c>
    </row>
    <row r="23" spans="1:8" x14ac:dyDescent="0.2">
      <c r="A23" s="11" t="str">
        <f t="shared" si="0"/>
        <v>1</v>
      </c>
      <c r="B23" s="11" t="str">
        <f>"Coordenador de Polo - 20h"</f>
        <v>Coordenador de Polo - 20h</v>
      </c>
      <c r="C23" s="11" t="str">
        <f>"MUSICOU TRES LAGOAS"</f>
        <v>MUSICOU TRES LAGOAS</v>
      </c>
      <c r="D23" s="8">
        <v>35059</v>
      </c>
      <c r="E23" s="11" t="str">
        <f>"DEBORA MIRIAM MOREIRA DOS SANTOS"</f>
        <v>DEBORA MIRIAM MOREIRA DOS SANTOS</v>
      </c>
      <c r="F23" s="8"/>
      <c r="G23" s="8"/>
      <c r="H23" s="12">
        <v>1</v>
      </c>
    </row>
    <row r="24" spans="1:8" x14ac:dyDescent="0.2">
      <c r="A24" s="11" t="str">
        <f t="shared" si="0"/>
        <v>1</v>
      </c>
      <c r="B24" s="11" t="str">
        <f>"Analista de Planejamento SR"</f>
        <v>Analista de Planejamento SR</v>
      </c>
      <c r="C24" s="11" t="str">
        <f>"Gerencia de Planejamento"</f>
        <v>Gerencia de Planejamento</v>
      </c>
      <c r="D24" s="8">
        <v>35110</v>
      </c>
      <c r="E24" s="11" t="str">
        <f>"DENISE ALVES DOS SANTOS RELVAS"</f>
        <v>DENISE ALVES DOS SANTOS RELVAS</v>
      </c>
      <c r="F24" s="8"/>
      <c r="G24" s="12">
        <v>0.9</v>
      </c>
      <c r="H24" s="12">
        <v>0.1</v>
      </c>
    </row>
    <row r="25" spans="1:8" x14ac:dyDescent="0.2">
      <c r="A25" s="11" t="str">
        <f t="shared" si="0"/>
        <v>1</v>
      </c>
      <c r="B25" s="11" t="str">
        <f>"Educador Musical I"</f>
        <v>Educador Musical I</v>
      </c>
      <c r="C25" s="11" t="str">
        <f>"MUSICOU TRES LAGOAS"</f>
        <v>MUSICOU TRES LAGOAS</v>
      </c>
      <c r="D25" s="8">
        <v>35076</v>
      </c>
      <c r="E25" s="11" t="str">
        <f>"EVERTON DE OLIVEIRA FERNANDES"</f>
        <v>EVERTON DE OLIVEIRA FERNANDES</v>
      </c>
      <c r="F25" s="8"/>
      <c r="G25" s="8"/>
      <c r="H25" s="12">
        <v>1</v>
      </c>
    </row>
    <row r="26" spans="1:8" x14ac:dyDescent="0.2">
      <c r="A26" s="11" t="str">
        <f t="shared" si="0"/>
        <v>1</v>
      </c>
      <c r="B26" s="11" t="str">
        <f>"Gerente Regional"</f>
        <v>Gerente Regional</v>
      </c>
      <c r="C26" s="11" t="str">
        <f>"Gerencia Geral"</f>
        <v>Gerencia Geral</v>
      </c>
      <c r="D26" s="8">
        <v>34968</v>
      </c>
      <c r="E26" s="11" t="str">
        <f>"FERNANDA SOLON BARBOSA"</f>
        <v>FERNANDA SOLON BARBOSA</v>
      </c>
      <c r="F26" s="8"/>
      <c r="G26" s="8"/>
      <c r="H26" s="12">
        <v>1</v>
      </c>
    </row>
    <row r="27" spans="1:8" x14ac:dyDescent="0.2">
      <c r="A27" s="11" t="str">
        <f t="shared" si="0"/>
        <v>1</v>
      </c>
      <c r="B27" s="11" t="str">
        <f>"Assistente Administrativo"</f>
        <v>Assistente Administrativo</v>
      </c>
      <c r="C27" s="11" t="str">
        <f>"Logistica"</f>
        <v>Logistica</v>
      </c>
      <c r="D27" s="8">
        <v>35097</v>
      </c>
      <c r="E27" s="11" t="str">
        <f>"FERNANDO ALVES DE MORAIS"</f>
        <v>FERNANDO ALVES DE MORAIS</v>
      </c>
      <c r="F27" s="8"/>
      <c r="G27" s="12">
        <v>0.9</v>
      </c>
      <c r="H27" s="12">
        <v>0.1</v>
      </c>
    </row>
    <row r="28" spans="1:8" x14ac:dyDescent="0.2">
      <c r="A28" s="11" t="str">
        <f t="shared" si="0"/>
        <v>1</v>
      </c>
      <c r="B28" s="11" t="str">
        <f>"Educador Musical I"</f>
        <v>Educador Musical I</v>
      </c>
      <c r="C28" s="11" t="str">
        <f>"MUSICOU FORTALEZA"</f>
        <v>MUSICOU FORTALEZA</v>
      </c>
      <c r="D28" s="8">
        <v>35066</v>
      </c>
      <c r="E28" s="11" t="str">
        <f>"FRANCISCO ANDERSON VIEIRA DE ALMEIDA"</f>
        <v>FRANCISCO ANDERSON VIEIRA DE ALMEIDA</v>
      </c>
      <c r="F28" s="8"/>
      <c r="G28" s="8"/>
      <c r="H28" s="12">
        <v>1</v>
      </c>
    </row>
    <row r="29" spans="1:8" x14ac:dyDescent="0.2">
      <c r="A29" s="11" t="str">
        <f t="shared" si="0"/>
        <v>1</v>
      </c>
      <c r="B29" s="11" t="str">
        <f>"Educador Musical I"</f>
        <v>Educador Musical I</v>
      </c>
      <c r="C29" s="11" t="str">
        <f>"MUSICOU PAULÍNIA"</f>
        <v>MUSICOU PAULÍNIA</v>
      </c>
      <c r="D29" s="8">
        <v>35119</v>
      </c>
      <c r="E29" s="11" t="str">
        <f>"GABRIEL ARSENE DE SOUZA"</f>
        <v>GABRIEL ARSENE DE SOUZA</v>
      </c>
      <c r="F29" s="8"/>
      <c r="G29" s="8"/>
      <c r="H29" s="12">
        <v>1</v>
      </c>
    </row>
    <row r="30" spans="1:8" x14ac:dyDescent="0.2">
      <c r="A30" s="11" t="str">
        <f t="shared" si="0"/>
        <v>1</v>
      </c>
      <c r="B30" s="11" t="str">
        <f>"Educador Musical I"</f>
        <v>Educador Musical I</v>
      </c>
      <c r="C30" s="11" t="str">
        <f>"MUSICOU PORECATU"</f>
        <v>MUSICOU PORECATU</v>
      </c>
      <c r="D30" s="8">
        <v>35068</v>
      </c>
      <c r="E30" s="11" t="str">
        <f>"GABRIEL RODRIGO RIBEIRO OLIVEIRA CRUZ"</f>
        <v>GABRIEL RODRIGO RIBEIRO OLIVEIRA CRUZ</v>
      </c>
      <c r="F30" s="8"/>
      <c r="G30" s="8"/>
      <c r="H30" s="12">
        <v>1</v>
      </c>
    </row>
    <row r="31" spans="1:8" x14ac:dyDescent="0.2">
      <c r="A31" s="11" t="str">
        <f t="shared" si="0"/>
        <v>1</v>
      </c>
      <c r="B31" s="11" t="str">
        <f>"Assistente Jurídico"</f>
        <v>Assistente Jurídico</v>
      </c>
      <c r="C31" s="11" t="str">
        <f>"Assessoria Juridica"</f>
        <v>Assessoria Juridica</v>
      </c>
      <c r="D31" s="8">
        <v>34998</v>
      </c>
      <c r="E31" s="11" t="str">
        <f>"GEISA VIANA DE SOUSA"</f>
        <v>GEISA VIANA DE SOUSA</v>
      </c>
      <c r="F31" s="8"/>
      <c r="G31" s="12">
        <v>0.9</v>
      </c>
      <c r="H31" s="12">
        <v>0.1</v>
      </c>
    </row>
    <row r="32" spans="1:8" x14ac:dyDescent="0.2">
      <c r="A32" s="11" t="str">
        <f t="shared" si="0"/>
        <v>1</v>
      </c>
      <c r="B32" s="11" t="str">
        <f>"Coordenador de Polo - 20h"</f>
        <v>Coordenador de Polo - 20h</v>
      </c>
      <c r="C32" s="11" t="str">
        <f>"MUSICOU RECIFE"</f>
        <v>MUSICOU RECIFE</v>
      </c>
      <c r="D32" s="8">
        <v>35126</v>
      </c>
      <c r="E32" s="11" t="str">
        <f>"GUILHERME DE CASTRO SILVA BARRADAS"</f>
        <v>GUILHERME DE CASTRO SILVA BARRADAS</v>
      </c>
      <c r="F32" s="8"/>
      <c r="G32" s="8"/>
      <c r="H32" s="12">
        <v>1</v>
      </c>
    </row>
    <row r="33" spans="1:8" x14ac:dyDescent="0.2">
      <c r="A33" s="11" t="str">
        <f t="shared" si="0"/>
        <v>1</v>
      </c>
      <c r="B33" s="11" t="str">
        <f>"Educador Musical I"</f>
        <v>Educador Musical I</v>
      </c>
      <c r="C33" s="11" t="str">
        <f>"MUSICOU ANDIRA"</f>
        <v>MUSICOU ANDIRA</v>
      </c>
      <c r="D33" s="8">
        <v>35074</v>
      </c>
      <c r="E33" s="11" t="str">
        <f>"GUILHERME RUBIM BARROS"</f>
        <v>GUILHERME RUBIM BARROS</v>
      </c>
      <c r="F33" s="8"/>
      <c r="G33" s="8"/>
      <c r="H33" s="12">
        <v>1</v>
      </c>
    </row>
    <row r="34" spans="1:8" x14ac:dyDescent="0.2">
      <c r="A34" s="11" t="str">
        <f t="shared" si="0"/>
        <v>1</v>
      </c>
      <c r="B34" s="11" t="str">
        <f>"Superintendente DI e Marketing"</f>
        <v>Superintendente DI e Marketing</v>
      </c>
      <c r="C34" s="11" t="str">
        <f>"Superint. Desenvolv. Institucional e Mkt"</f>
        <v>Superint. Desenvolv. Institucional e Mkt</v>
      </c>
      <c r="D34" s="8">
        <v>34921</v>
      </c>
      <c r="E34" s="11" t="str">
        <f>"HELOISA GARCIA DA MOTA"</f>
        <v>HELOISA GARCIA DA MOTA</v>
      </c>
      <c r="F34" s="12">
        <v>0.55000000000000004</v>
      </c>
      <c r="G34" s="12">
        <v>0.32500000000000001</v>
      </c>
      <c r="H34" s="12">
        <v>0.125</v>
      </c>
    </row>
    <row r="35" spans="1:8" x14ac:dyDescent="0.2">
      <c r="A35" s="11" t="str">
        <f t="shared" ref="A35:A66" si="1">"1"</f>
        <v>1</v>
      </c>
      <c r="B35" s="11" t="str">
        <f>"Educador Musical I"</f>
        <v>Educador Musical I</v>
      </c>
      <c r="C35" s="11" t="str">
        <f>"POLO SAO VICENTE"</f>
        <v>POLO SAO VICENTE</v>
      </c>
      <c r="D35" s="8">
        <v>31588</v>
      </c>
      <c r="E35" s="11" t="str">
        <f>"ISRAEL LUZ VIANA"</f>
        <v>ISRAEL LUZ VIANA</v>
      </c>
      <c r="F35" s="8"/>
      <c r="G35" s="8"/>
      <c r="H35" s="12">
        <v>1</v>
      </c>
    </row>
    <row r="36" spans="1:8" x14ac:dyDescent="0.2">
      <c r="A36" s="11" t="str">
        <f t="shared" si="1"/>
        <v>1</v>
      </c>
      <c r="B36" s="11" t="str">
        <f>"Educador Musical I"</f>
        <v>Educador Musical I</v>
      </c>
      <c r="C36" s="11" t="str">
        <f>"MUSICOU PORECATU"</f>
        <v>MUSICOU PORECATU</v>
      </c>
      <c r="D36" s="8">
        <v>35086</v>
      </c>
      <c r="E36" s="11" t="str">
        <f>"JACKSON VINICIUS DIAS BATISTA"</f>
        <v>JACKSON VINICIUS DIAS BATISTA</v>
      </c>
      <c r="F36" s="8"/>
      <c r="G36" s="8"/>
      <c r="H36" s="12">
        <v>1</v>
      </c>
    </row>
    <row r="37" spans="1:8" x14ac:dyDescent="0.2">
      <c r="A37" s="11" t="str">
        <f t="shared" si="1"/>
        <v>1</v>
      </c>
      <c r="B37" s="11" t="str">
        <f>"Educador Musical I"</f>
        <v>Educador Musical I</v>
      </c>
      <c r="C37" s="11" t="str">
        <f>"MUSICOU EUCLIDES DA CUNHA PAULISTA"</f>
        <v>MUSICOU EUCLIDES DA CUNHA PAULISTA</v>
      </c>
      <c r="D37" s="8">
        <v>35120</v>
      </c>
      <c r="E37" s="11" t="str">
        <f>"JAIR CARLOS LIMA"</f>
        <v>JAIR CARLOS LIMA</v>
      </c>
      <c r="F37" s="8"/>
      <c r="G37" s="8"/>
      <c r="H37" s="12">
        <v>1</v>
      </c>
    </row>
    <row r="38" spans="1:8" x14ac:dyDescent="0.2">
      <c r="A38" s="11" t="str">
        <f t="shared" si="1"/>
        <v>1</v>
      </c>
      <c r="B38" s="11" t="str">
        <f>"Coordenador de Polo - 20h"</f>
        <v>Coordenador de Polo - 20h</v>
      </c>
      <c r="C38" s="11" t="str">
        <f>"MUSICOU DOM HELDER"</f>
        <v>MUSICOU DOM HELDER</v>
      </c>
      <c r="D38" s="8">
        <v>35125</v>
      </c>
      <c r="E38" s="11" t="str">
        <f>"JESSICA CAROLINE IG AURELIANO DOS SANTOS"</f>
        <v>JESSICA CAROLINE IG AURELIANO DOS SANTOS</v>
      </c>
      <c r="F38" s="8"/>
      <c r="G38" s="8"/>
      <c r="H38" s="12">
        <v>1</v>
      </c>
    </row>
    <row r="39" spans="1:8" x14ac:dyDescent="0.2">
      <c r="A39" s="11" t="str">
        <f t="shared" si="1"/>
        <v>1</v>
      </c>
      <c r="B39" s="11" t="str">
        <f>"Educador Musical I"</f>
        <v>Educador Musical I</v>
      </c>
      <c r="C39" s="11" t="str">
        <f>"MUSICOU JACAREZINHO"</f>
        <v>MUSICOU JACAREZINHO</v>
      </c>
      <c r="D39" s="8">
        <v>35100</v>
      </c>
      <c r="E39" s="11" t="str">
        <f>"JOAO CARLOS MACRI JUNIOR"</f>
        <v>JOAO CARLOS MACRI JUNIOR</v>
      </c>
      <c r="F39" s="8"/>
      <c r="G39" s="8"/>
      <c r="H39" s="12">
        <v>1</v>
      </c>
    </row>
    <row r="40" spans="1:8" x14ac:dyDescent="0.2">
      <c r="A40" s="11" t="str">
        <f t="shared" si="1"/>
        <v>1</v>
      </c>
      <c r="B40" s="11" t="str">
        <f>"Coord Tec Artistico Pedagogico"</f>
        <v>Coord Tec Artistico Pedagogico</v>
      </c>
      <c r="C40" s="11" t="str">
        <f>"SEDUC - Pedagogico"</f>
        <v>SEDUC - Pedagogico</v>
      </c>
      <c r="D40" s="8">
        <v>34444</v>
      </c>
      <c r="E40" s="11" t="str">
        <f>"JOAO GERALDO DOMINGUES ALVES"</f>
        <v>JOAO GERALDO DOMINGUES ALVES</v>
      </c>
      <c r="F40" s="8"/>
      <c r="G40" s="12">
        <v>0.9</v>
      </c>
      <c r="H40" s="12">
        <v>0.1</v>
      </c>
    </row>
    <row r="41" spans="1:8" x14ac:dyDescent="0.2">
      <c r="A41" s="11" t="str">
        <f t="shared" si="1"/>
        <v>1</v>
      </c>
      <c r="B41" s="11" t="str">
        <f>"Educador Musical I"</f>
        <v>Educador Musical I</v>
      </c>
      <c r="C41" s="11" t="str">
        <f>"MUSICOU PORECATU"</f>
        <v>MUSICOU PORECATU</v>
      </c>
      <c r="D41" s="8">
        <v>35069</v>
      </c>
      <c r="E41" s="11" t="str">
        <f>"JOAO LUCAS RIBEIRO OLIVEIRA CRUZ"</f>
        <v>JOAO LUCAS RIBEIRO OLIVEIRA CRUZ</v>
      </c>
      <c r="F41" s="8"/>
      <c r="G41" s="8"/>
      <c r="H41" s="12">
        <v>1</v>
      </c>
    </row>
    <row r="42" spans="1:8" x14ac:dyDescent="0.2">
      <c r="A42" s="11" t="str">
        <f t="shared" si="1"/>
        <v>1</v>
      </c>
      <c r="B42" s="11" t="str">
        <f>"Educador Musical I"</f>
        <v>Educador Musical I</v>
      </c>
      <c r="C42" s="11" t="str">
        <f>"MUSICOU DOM HELDER"</f>
        <v>MUSICOU DOM HELDER</v>
      </c>
      <c r="D42" s="8">
        <v>35138</v>
      </c>
      <c r="E42" s="11" t="str">
        <f>"JOSE EMERSON RODRIGUES DA SILVA"</f>
        <v>JOSE EMERSON RODRIGUES DA SILVA</v>
      </c>
      <c r="F42" s="8"/>
      <c r="G42" s="8"/>
      <c r="H42" s="12">
        <v>1</v>
      </c>
    </row>
    <row r="43" spans="1:8" x14ac:dyDescent="0.2">
      <c r="A43" s="11" t="str">
        <f t="shared" si="1"/>
        <v>1</v>
      </c>
      <c r="B43" s="11" t="str">
        <f>"Educador Musical I"</f>
        <v>Educador Musical I</v>
      </c>
      <c r="C43" s="11" t="str">
        <f>"MUSICOU EUCLIDES DA CUNHA PAULISTA"</f>
        <v>MUSICOU EUCLIDES DA CUNHA PAULISTA</v>
      </c>
      <c r="D43" s="8">
        <v>35121</v>
      </c>
      <c r="E43" s="11" t="str">
        <f>"JUCIMARA DOS SANTOS OLIVEIRA"</f>
        <v>JUCIMARA DOS SANTOS OLIVEIRA</v>
      </c>
      <c r="F43" s="8"/>
      <c r="G43" s="8"/>
      <c r="H43" s="12">
        <v>1</v>
      </c>
    </row>
    <row r="44" spans="1:8" x14ac:dyDescent="0.2">
      <c r="A44" s="11" t="str">
        <f t="shared" si="1"/>
        <v>1</v>
      </c>
      <c r="B44" s="11" t="str">
        <f>"Educador Musical I"</f>
        <v>Educador Musical I</v>
      </c>
      <c r="C44" s="11" t="str">
        <f>"MUSICOU DOM HELDER"</f>
        <v>MUSICOU DOM HELDER</v>
      </c>
      <c r="D44" s="8">
        <v>35127</v>
      </c>
      <c r="E44" s="11" t="str">
        <f>"KAROLINE MAURICIO DE FREITAS MACIEL"</f>
        <v>KAROLINE MAURICIO DE FREITAS MACIEL</v>
      </c>
      <c r="F44" s="8"/>
      <c r="G44" s="8"/>
      <c r="H44" s="12">
        <v>1</v>
      </c>
    </row>
    <row r="45" spans="1:8" x14ac:dyDescent="0.2">
      <c r="A45" s="11" t="str">
        <f t="shared" si="1"/>
        <v>1</v>
      </c>
      <c r="B45" s="11" t="str">
        <f>"Designer Grafico SR"</f>
        <v>Designer Grafico SR</v>
      </c>
      <c r="C45" s="11" t="str">
        <f>"Comunicação e Marketing"</f>
        <v>Comunicação e Marketing</v>
      </c>
      <c r="D45" s="8">
        <v>33484</v>
      </c>
      <c r="E45" s="11" t="str">
        <f>"KELLY NAGUISSA SATO"</f>
        <v>KELLY NAGUISSA SATO</v>
      </c>
      <c r="F45" s="8"/>
      <c r="G45" s="12">
        <v>0.9</v>
      </c>
      <c r="H45" s="12">
        <v>0.1</v>
      </c>
    </row>
    <row r="46" spans="1:8" x14ac:dyDescent="0.2">
      <c r="A46" s="11" t="str">
        <f t="shared" si="1"/>
        <v>1</v>
      </c>
      <c r="B46" s="11" t="str">
        <f>"Gerente de Com e Marketing II"</f>
        <v>Gerente de Com e Marketing II</v>
      </c>
      <c r="C46" s="11" t="str">
        <f>"Comunicação e Marketing"</f>
        <v>Comunicação e Marketing</v>
      </c>
      <c r="D46" s="8">
        <v>35020</v>
      </c>
      <c r="E46" s="11" t="str">
        <f>"LAURA RIBEIRO BRAGA"</f>
        <v>LAURA RIBEIRO BRAGA</v>
      </c>
      <c r="F46" s="8"/>
      <c r="G46" s="12">
        <v>0.9</v>
      </c>
      <c r="H46" s="12">
        <v>0.1</v>
      </c>
    </row>
    <row r="47" spans="1:8" x14ac:dyDescent="0.2">
      <c r="A47" s="11" t="str">
        <f t="shared" si="1"/>
        <v>1</v>
      </c>
      <c r="B47" s="11" t="str">
        <f>"Coordenador de Polo - 20h"</f>
        <v>Coordenador de Polo - 20h</v>
      </c>
      <c r="C47" s="11" t="str">
        <f>"MUSICOU SANTA MARIANA"</f>
        <v>MUSICOU SANTA MARIANA</v>
      </c>
      <c r="D47" s="8">
        <v>35130</v>
      </c>
      <c r="E47" s="11" t="str">
        <f>"LEILA CRISTINA DE OLIVEIRA"</f>
        <v>LEILA CRISTINA DE OLIVEIRA</v>
      </c>
      <c r="F47" s="8"/>
      <c r="G47" s="8"/>
      <c r="H47" s="12">
        <v>1</v>
      </c>
    </row>
    <row r="48" spans="1:8" x14ac:dyDescent="0.2">
      <c r="A48" s="11" t="str">
        <f t="shared" si="1"/>
        <v>1</v>
      </c>
      <c r="B48" s="11" t="str">
        <f>"Auxiliar Compras"</f>
        <v>Auxiliar Compras</v>
      </c>
      <c r="C48" s="11" t="str">
        <f>"Compras"</f>
        <v>Compras</v>
      </c>
      <c r="D48" s="8">
        <v>35098</v>
      </c>
      <c r="E48" s="11" t="str">
        <f>"LEONARDO DOS REIS MARTINS"</f>
        <v>LEONARDO DOS REIS MARTINS</v>
      </c>
      <c r="F48" s="8"/>
      <c r="G48" s="12">
        <v>0.9</v>
      </c>
      <c r="H48" s="12">
        <v>0.1</v>
      </c>
    </row>
    <row r="49" spans="1:8" x14ac:dyDescent="0.2">
      <c r="A49" s="11" t="str">
        <f t="shared" si="1"/>
        <v>1</v>
      </c>
      <c r="B49" s="11" t="str">
        <f>"Educador Musical I"</f>
        <v>Educador Musical I</v>
      </c>
      <c r="C49" s="11" t="str">
        <f>"MUSICOU JACAREZINHO"</f>
        <v>MUSICOU JACAREZINHO</v>
      </c>
      <c r="D49" s="8">
        <v>35065</v>
      </c>
      <c r="E49" s="11" t="str">
        <f>"LETICIA MENEGASSO"</f>
        <v>LETICIA MENEGASSO</v>
      </c>
      <c r="F49" s="8"/>
      <c r="G49" s="8"/>
      <c r="H49" s="12">
        <v>1</v>
      </c>
    </row>
    <row r="50" spans="1:8" x14ac:dyDescent="0.2">
      <c r="A50" s="11" t="str">
        <f t="shared" si="1"/>
        <v>1</v>
      </c>
      <c r="B50" s="11" t="str">
        <f>"Educador Musical I"</f>
        <v>Educador Musical I</v>
      </c>
      <c r="C50" s="11" t="str">
        <f>"MUSICOU TRES LAGOAS"</f>
        <v>MUSICOU TRES LAGOAS</v>
      </c>
      <c r="D50" s="8">
        <v>35106</v>
      </c>
      <c r="E50" s="11" t="str">
        <f>"LIDIANE DE ARAUJO SERRADO MANTELATO"</f>
        <v>LIDIANE DE ARAUJO SERRADO MANTELATO</v>
      </c>
      <c r="F50" s="8"/>
      <c r="G50" s="8"/>
      <c r="H50" s="12">
        <v>1</v>
      </c>
    </row>
    <row r="51" spans="1:8" x14ac:dyDescent="0.2">
      <c r="A51" s="11" t="str">
        <f t="shared" si="1"/>
        <v>1</v>
      </c>
      <c r="B51" s="11" t="str">
        <f>"Analista Financeiro PL"</f>
        <v>Analista Financeiro PL</v>
      </c>
      <c r="C51" s="11" t="str">
        <f>"Financeiro"</f>
        <v>Financeiro</v>
      </c>
      <c r="D51" s="8">
        <v>33683</v>
      </c>
      <c r="E51" s="11" t="str">
        <f>"LINCOLN MACIEL DA SILVA"</f>
        <v>LINCOLN MACIEL DA SILVA</v>
      </c>
      <c r="F51" s="8"/>
      <c r="G51" s="12">
        <v>0.9</v>
      </c>
      <c r="H51" s="12">
        <v>0.1</v>
      </c>
    </row>
    <row r="52" spans="1:8" x14ac:dyDescent="0.2">
      <c r="A52" s="11" t="str">
        <f t="shared" si="1"/>
        <v>1</v>
      </c>
      <c r="B52" s="11" t="str">
        <f>"Contador"</f>
        <v>Contador</v>
      </c>
      <c r="C52" s="11" t="str">
        <f>"Contabilidade"</f>
        <v>Contabilidade</v>
      </c>
      <c r="D52" s="8">
        <v>30328</v>
      </c>
      <c r="E52" s="11" t="str">
        <f>"LUIS CARLOS TRENTO"</f>
        <v>LUIS CARLOS TRENTO</v>
      </c>
      <c r="F52" s="12">
        <v>0.55000000000000004</v>
      </c>
      <c r="G52" s="12">
        <v>0.32500000000000001</v>
      </c>
      <c r="H52" s="12">
        <v>0.125</v>
      </c>
    </row>
    <row r="53" spans="1:8" x14ac:dyDescent="0.2">
      <c r="A53" s="11" t="str">
        <f t="shared" si="1"/>
        <v>1</v>
      </c>
      <c r="B53" s="11" t="str">
        <f>"Comprador JR"</f>
        <v>Comprador JR</v>
      </c>
      <c r="C53" s="11" t="str">
        <f>"Compras"</f>
        <v>Compras</v>
      </c>
      <c r="D53" s="8">
        <v>34799</v>
      </c>
      <c r="E53" s="11" t="str">
        <f>"MARCELA CRISTINA BEZERRA"</f>
        <v>MARCELA CRISTINA BEZERRA</v>
      </c>
      <c r="F53" s="8"/>
      <c r="G53" s="12">
        <v>0.9</v>
      </c>
      <c r="H53" s="12">
        <v>0.1</v>
      </c>
    </row>
    <row r="54" spans="1:8" x14ac:dyDescent="0.2">
      <c r="A54" s="11" t="str">
        <f t="shared" si="1"/>
        <v>1</v>
      </c>
      <c r="B54" s="11" t="str">
        <f>"Supervisor de Tec e Sistemas"</f>
        <v>Supervisor de Tec e Sistemas</v>
      </c>
      <c r="C54" s="11" t="str">
        <f>"Tecnologia e Operações"</f>
        <v>Tecnologia e Operações</v>
      </c>
      <c r="D54" s="8">
        <v>35077</v>
      </c>
      <c r="E54" s="11" t="str">
        <f>"MARCELO SOUZA DA SILVA"</f>
        <v>MARCELO SOUZA DA SILVA</v>
      </c>
      <c r="F54" s="12">
        <v>0.55000000000000004</v>
      </c>
      <c r="G54" s="12">
        <v>0.32500000000000001</v>
      </c>
      <c r="H54" s="12">
        <v>0.125</v>
      </c>
    </row>
    <row r="55" spans="1:8" x14ac:dyDescent="0.2">
      <c r="A55" s="11" t="str">
        <f t="shared" si="1"/>
        <v>1</v>
      </c>
      <c r="B55" s="11" t="str">
        <f>"Analista de Redes e Infra PL"</f>
        <v>Analista de Redes e Infra PL</v>
      </c>
      <c r="C55" s="11" t="str">
        <f>"Tecnologia e Operações"</f>
        <v>Tecnologia e Operações</v>
      </c>
      <c r="D55" s="8">
        <v>30027</v>
      </c>
      <c r="E55" s="11" t="str">
        <f>"MARCOS MAGNO BARBOSA DE OLIVEIRA"</f>
        <v>MARCOS MAGNO BARBOSA DE OLIVEIRA</v>
      </c>
      <c r="F55" s="8"/>
      <c r="G55" s="12">
        <v>0.9</v>
      </c>
      <c r="H55" s="12">
        <v>0.1</v>
      </c>
    </row>
    <row r="56" spans="1:8" x14ac:dyDescent="0.2">
      <c r="A56" s="11" t="str">
        <f t="shared" si="1"/>
        <v>1</v>
      </c>
      <c r="B56" s="11" t="str">
        <f>"Gerente de Cap de Recursos II"</f>
        <v>Gerente de Cap de Recursos II</v>
      </c>
      <c r="C56" s="11" t="str">
        <f>"Mobilização de Recursos"</f>
        <v>Mobilização de Recursos</v>
      </c>
      <c r="D56" s="8">
        <v>33669</v>
      </c>
      <c r="E56" s="11" t="str">
        <f>"MARINA SOLEO FUNARI"</f>
        <v>MARINA SOLEO FUNARI</v>
      </c>
      <c r="F56" s="12">
        <v>0.55000000000000004</v>
      </c>
      <c r="G56" s="12">
        <v>0.32500000000000001</v>
      </c>
      <c r="H56" s="12">
        <v>0.1</v>
      </c>
    </row>
    <row r="57" spans="1:8" x14ac:dyDescent="0.2">
      <c r="A57" s="11" t="str">
        <f t="shared" si="1"/>
        <v>1</v>
      </c>
      <c r="B57" s="11" t="str">
        <f>"Analista Recursos Humanos PL"</f>
        <v>Analista Recursos Humanos PL</v>
      </c>
      <c r="C57" s="11" t="str">
        <f>"Recursos Humanos / Depto Pessoal"</f>
        <v>Recursos Humanos / Depto Pessoal</v>
      </c>
      <c r="D57" s="8">
        <v>33805</v>
      </c>
      <c r="E57" s="11" t="str">
        <f>"MAYRA FERNANDES DOS SANTOS SILVA"</f>
        <v>MAYRA FERNANDES DOS SANTOS SILVA</v>
      </c>
      <c r="F57" s="8"/>
      <c r="G57" s="12">
        <v>0.9</v>
      </c>
      <c r="H57" s="12">
        <v>0.1</v>
      </c>
    </row>
    <row r="58" spans="1:8" x14ac:dyDescent="0.2">
      <c r="A58" s="11" t="str">
        <f t="shared" si="1"/>
        <v>1</v>
      </c>
      <c r="B58" s="11" t="str">
        <f>"Educador Musical I"</f>
        <v>Educador Musical I</v>
      </c>
      <c r="C58" s="11" t="str">
        <f>"MUSICOU RECIFE"</f>
        <v>MUSICOU RECIFE</v>
      </c>
      <c r="D58" s="8">
        <v>35135</v>
      </c>
      <c r="E58" s="11" t="str">
        <f>"MIRTY KATLHY DA SILVA SOUZA"</f>
        <v>MIRTY KATLHY DA SILVA SOUZA</v>
      </c>
      <c r="F58" s="8"/>
      <c r="G58" s="8"/>
      <c r="H58" s="12">
        <v>1</v>
      </c>
    </row>
    <row r="59" spans="1:8" x14ac:dyDescent="0.2">
      <c r="A59" s="11" t="str">
        <f t="shared" si="1"/>
        <v>1</v>
      </c>
      <c r="B59" s="11" t="str">
        <f>"Coordenador de Polo - 20h"</f>
        <v>Coordenador de Polo - 20h</v>
      </c>
      <c r="C59" s="11" t="str">
        <f>"MUSICOU ANDIRA"</f>
        <v>MUSICOU ANDIRA</v>
      </c>
      <c r="D59" s="8">
        <v>35058</v>
      </c>
      <c r="E59" s="11" t="str">
        <f>"NATALIA GANDRA LOBO DE CARVALHO"</f>
        <v>NATALIA GANDRA LOBO DE CARVALHO</v>
      </c>
      <c r="F59" s="8"/>
      <c r="G59" s="8"/>
      <c r="H59" s="12">
        <v>1</v>
      </c>
    </row>
    <row r="60" spans="1:8" x14ac:dyDescent="0.2">
      <c r="A60" s="11" t="str">
        <f t="shared" si="1"/>
        <v>1</v>
      </c>
      <c r="B60" s="11" t="str">
        <f>"Educador Musical I"</f>
        <v>Educador Musical I</v>
      </c>
      <c r="C60" s="11" t="str">
        <f>"MUSICOU JACAREZINHO"</f>
        <v>MUSICOU JACAREZINHO</v>
      </c>
      <c r="D60" s="8">
        <v>35064</v>
      </c>
      <c r="E60" s="11" t="str">
        <f>"PAULO HENRIQUE ANTONINI"</f>
        <v>PAULO HENRIQUE ANTONINI</v>
      </c>
      <c r="F60" s="8"/>
      <c r="G60" s="8"/>
      <c r="H60" s="12">
        <v>1</v>
      </c>
    </row>
    <row r="61" spans="1:8" x14ac:dyDescent="0.2">
      <c r="A61" s="11" t="str">
        <f t="shared" si="1"/>
        <v>1</v>
      </c>
      <c r="B61" s="11" t="str">
        <f>"Gerente de Logistica I"</f>
        <v>Gerente de Logistica I</v>
      </c>
      <c r="C61" s="11" t="str">
        <f>"Logistica"</f>
        <v>Logistica</v>
      </c>
      <c r="D61" s="8">
        <v>31964</v>
      </c>
      <c r="E61" s="11" t="str">
        <f>"RAFAEL MASARO ANTUNES"</f>
        <v>RAFAEL MASARO ANTUNES</v>
      </c>
      <c r="F61" s="12">
        <v>0.55000000000000004</v>
      </c>
      <c r="G61" s="12">
        <v>0.32500000000000001</v>
      </c>
      <c r="H61" s="12">
        <v>0.1</v>
      </c>
    </row>
    <row r="62" spans="1:8" x14ac:dyDescent="0.2">
      <c r="A62" s="11" t="str">
        <f t="shared" si="1"/>
        <v>1</v>
      </c>
      <c r="B62" s="11" t="str">
        <f>"Diretor Administrativo Financeiro"</f>
        <v>Diretor Administrativo Financeiro</v>
      </c>
      <c r="C62" s="11" t="str">
        <f>"Diretoria Administrativa e Financeira"</f>
        <v>Diretoria Administrativa e Financeira</v>
      </c>
      <c r="D62" s="8">
        <v>35112</v>
      </c>
      <c r="E62" s="11" t="str">
        <f>"RAFAEL SALIM BALASSIANO"</f>
        <v>RAFAEL SALIM BALASSIANO</v>
      </c>
      <c r="F62" s="12">
        <v>0.55000000000000004</v>
      </c>
      <c r="G62" s="12">
        <v>0.32500000000000001</v>
      </c>
      <c r="H62" s="12">
        <v>0.1</v>
      </c>
    </row>
    <row r="63" spans="1:8" x14ac:dyDescent="0.2">
      <c r="A63" s="11" t="str">
        <f t="shared" si="1"/>
        <v>1</v>
      </c>
      <c r="B63" s="11" t="str">
        <f>"Educador Musical I"</f>
        <v>Educador Musical I</v>
      </c>
      <c r="C63" s="11" t="str">
        <f>"MUSICOU FORTALEZA"</f>
        <v>MUSICOU FORTALEZA</v>
      </c>
      <c r="D63" s="8">
        <v>35070</v>
      </c>
      <c r="E63" s="11" t="str">
        <f>"RAFAEL VIEIRA BARROS"</f>
        <v>RAFAEL VIEIRA BARROS</v>
      </c>
      <c r="F63" s="8"/>
      <c r="G63" s="8"/>
      <c r="H63" s="12">
        <v>1</v>
      </c>
    </row>
    <row r="64" spans="1:8" x14ac:dyDescent="0.2">
      <c r="A64" s="11" t="str">
        <f t="shared" si="1"/>
        <v>1</v>
      </c>
      <c r="B64" s="11" t="str">
        <f>"Analista de Contratos PL"</f>
        <v>Analista de Contratos PL</v>
      </c>
      <c r="C64" s="11" t="str">
        <f>"Assessoria Juridica"</f>
        <v>Assessoria Juridica</v>
      </c>
      <c r="D64" s="8">
        <v>33495</v>
      </c>
      <c r="E64" s="11" t="str">
        <f>"RENATA FREIRE DA SILVA"</f>
        <v>RENATA FREIRE DA SILVA</v>
      </c>
      <c r="F64" s="8"/>
      <c r="G64" s="12">
        <v>0.9</v>
      </c>
      <c r="H64" s="12">
        <v>0.1</v>
      </c>
    </row>
    <row r="65" spans="1:8" x14ac:dyDescent="0.2">
      <c r="A65" s="11" t="str">
        <f t="shared" si="1"/>
        <v>1</v>
      </c>
      <c r="B65" s="11" t="str">
        <f>"Educador Musical I"</f>
        <v>Educador Musical I</v>
      </c>
      <c r="C65" s="11" t="str">
        <f>"MUSICOU PAULÍNIA"</f>
        <v>MUSICOU PAULÍNIA</v>
      </c>
      <c r="D65" s="8">
        <v>35134</v>
      </c>
      <c r="E65" s="11" t="str">
        <f>"RICARDO HENRIQUE SERRAO"</f>
        <v>RICARDO HENRIQUE SERRAO</v>
      </c>
      <c r="F65" s="8"/>
      <c r="G65" s="8"/>
      <c r="H65" s="12">
        <v>1</v>
      </c>
    </row>
    <row r="66" spans="1:8" x14ac:dyDescent="0.2">
      <c r="A66" s="11" t="str">
        <f t="shared" si="1"/>
        <v>1</v>
      </c>
      <c r="B66" s="11" t="str">
        <f>"Educador Musical I"</f>
        <v>Educador Musical I</v>
      </c>
      <c r="C66" s="11" t="str">
        <f>"MUSICOU QUIXERAMOBIM (NE)"</f>
        <v>MUSICOU QUIXERAMOBIM (NE)</v>
      </c>
      <c r="D66" s="8">
        <v>35136</v>
      </c>
      <c r="E66" s="11" t="str">
        <f>"ROBSON ESTEVES NUNES"</f>
        <v>ROBSON ESTEVES NUNES</v>
      </c>
      <c r="F66" s="8"/>
      <c r="G66" s="8"/>
      <c r="H66" s="12">
        <v>1</v>
      </c>
    </row>
    <row r="67" spans="1:8" x14ac:dyDescent="0.2">
      <c r="A67" s="11" t="str">
        <f t="shared" ref="A67:A79" si="2">"1"</f>
        <v>1</v>
      </c>
      <c r="B67" s="11" t="str">
        <f>"Analista Captador Recursos PL"</f>
        <v>Analista Captador Recursos PL</v>
      </c>
      <c r="C67" s="11" t="str">
        <f>"Mobilização de Recursos"</f>
        <v>Mobilização de Recursos</v>
      </c>
      <c r="D67" s="8">
        <v>59903563</v>
      </c>
      <c r="E67" s="11" t="str">
        <f>"RODRIGO ANTONIO RAMOS GALVAO"</f>
        <v>RODRIGO ANTONIO RAMOS GALVAO</v>
      </c>
      <c r="F67" s="12">
        <v>0.55000000000000004</v>
      </c>
      <c r="G67" s="12">
        <v>0.32500000000000001</v>
      </c>
      <c r="H67" s="12">
        <v>0.1</v>
      </c>
    </row>
    <row r="68" spans="1:8" x14ac:dyDescent="0.2">
      <c r="A68" s="11" t="str">
        <f t="shared" si="2"/>
        <v>1</v>
      </c>
      <c r="B68" s="11" t="str">
        <f>"Educador Musical I"</f>
        <v>Educador Musical I</v>
      </c>
      <c r="C68" s="11" t="str">
        <f>"MUSICOU TRES LAGOAS"</f>
        <v>MUSICOU TRES LAGOAS</v>
      </c>
      <c r="D68" s="8">
        <v>35114</v>
      </c>
      <c r="E68" s="11" t="str">
        <f>"RONIERES DE PAULA OLIVEIRA"</f>
        <v>RONIERES DE PAULA OLIVEIRA</v>
      </c>
      <c r="F68" s="8"/>
      <c r="G68" s="8"/>
      <c r="H68" s="12">
        <v>1</v>
      </c>
    </row>
    <row r="69" spans="1:8" x14ac:dyDescent="0.2">
      <c r="A69" s="11" t="str">
        <f t="shared" si="2"/>
        <v>1</v>
      </c>
      <c r="B69" s="11" t="str">
        <f>"Secretaria de Diretoria PL"</f>
        <v>Secretaria de Diretoria PL</v>
      </c>
      <c r="C69" s="11" t="str">
        <f>"Secretaria - Direx"</f>
        <v>Secretaria - Direx</v>
      </c>
      <c r="D69" s="8">
        <v>30236</v>
      </c>
      <c r="E69" s="11" t="str">
        <f>"ROSA CARMEN QUEIROZ"</f>
        <v>ROSA CARMEN QUEIROZ</v>
      </c>
      <c r="F69" s="8"/>
      <c r="G69" s="12">
        <v>0.9</v>
      </c>
      <c r="H69" s="12">
        <v>0.1</v>
      </c>
    </row>
    <row r="70" spans="1:8" x14ac:dyDescent="0.2">
      <c r="A70" s="11" t="str">
        <f t="shared" si="2"/>
        <v>1</v>
      </c>
      <c r="B70" s="11" t="str">
        <f>"Coord Tec Artistico Pedagogico"</f>
        <v>Coord Tec Artistico Pedagogico</v>
      </c>
      <c r="C70" s="11" t="str">
        <f>"SEDUC - Artistico"</f>
        <v>SEDUC - Artistico</v>
      </c>
      <c r="D70" s="8">
        <v>34232</v>
      </c>
      <c r="E70" s="11" t="str">
        <f>"ROSANA TONHOLI MASSUELA"</f>
        <v>ROSANA TONHOLI MASSUELA</v>
      </c>
      <c r="F70" s="8"/>
      <c r="G70" s="12">
        <v>0.9</v>
      </c>
      <c r="H70" s="12">
        <v>0.1</v>
      </c>
    </row>
    <row r="71" spans="1:8" x14ac:dyDescent="0.2">
      <c r="A71" s="11" t="str">
        <f t="shared" si="2"/>
        <v>1</v>
      </c>
      <c r="B71" s="11" t="str">
        <f>"Educador Musical I"</f>
        <v>Educador Musical I</v>
      </c>
      <c r="C71" s="11" t="str">
        <f>"MUSICOU EUCLIDES DA CUNHA PAULISTA"</f>
        <v>MUSICOU EUCLIDES DA CUNHA PAULISTA</v>
      </c>
      <c r="D71" s="8">
        <v>35122</v>
      </c>
      <c r="E71" s="11" t="str">
        <f>"RUBENS GONCALVES DE SOUZA"</f>
        <v>RUBENS GONCALVES DE SOUZA</v>
      </c>
      <c r="F71" s="8"/>
      <c r="G71" s="8"/>
      <c r="H71" s="12">
        <v>1</v>
      </c>
    </row>
    <row r="72" spans="1:8" x14ac:dyDescent="0.2">
      <c r="A72" s="11" t="str">
        <f t="shared" si="2"/>
        <v>1</v>
      </c>
      <c r="B72" s="11" t="str">
        <f>"Educador Musical I"</f>
        <v>Educador Musical I</v>
      </c>
      <c r="C72" s="11" t="str">
        <f>"MUSICOU QUIXADÁ (NE)"</f>
        <v>MUSICOU QUIXADÁ (NE)</v>
      </c>
      <c r="D72" s="8">
        <v>35137</v>
      </c>
      <c r="E72" s="11" t="str">
        <f>"STHEFANNY MACIEL DE QUEIROZ"</f>
        <v>STHEFANNY MACIEL DE QUEIROZ</v>
      </c>
      <c r="F72" s="8"/>
      <c r="G72" s="8"/>
      <c r="H72" s="12">
        <v>1</v>
      </c>
    </row>
    <row r="73" spans="1:8" x14ac:dyDescent="0.2">
      <c r="A73" s="11" t="str">
        <f t="shared" si="2"/>
        <v>1</v>
      </c>
      <c r="B73" s="11" t="str">
        <f>"Gerente de Suprimentos II"</f>
        <v>Gerente de Suprimentos II</v>
      </c>
      <c r="C73" s="11" t="str">
        <f>"Compras"</f>
        <v>Compras</v>
      </c>
      <c r="D73" s="8">
        <v>30237</v>
      </c>
      <c r="E73" s="11" t="str">
        <f>"SUSANA CORDEIRO EMIDIO PEREIRA"</f>
        <v>SUSANA CORDEIRO EMIDIO PEREIRA</v>
      </c>
      <c r="F73" s="12">
        <v>0.55000000000000004</v>
      </c>
      <c r="G73" s="12">
        <v>0.32500000000000001</v>
      </c>
      <c r="H73" s="12">
        <v>0.1</v>
      </c>
    </row>
    <row r="74" spans="1:8" x14ac:dyDescent="0.2">
      <c r="A74" s="11" t="str">
        <f t="shared" si="2"/>
        <v>1</v>
      </c>
      <c r="B74" s="11" t="str">
        <f>"Analista Captador Recursos SR"</f>
        <v>Analista Captador Recursos SR</v>
      </c>
      <c r="C74" s="11" t="str">
        <f>"Mobilização de Recursos"</f>
        <v>Mobilização de Recursos</v>
      </c>
      <c r="D74" s="8">
        <v>30045</v>
      </c>
      <c r="E74" s="11" t="str">
        <f>"TAIS DA SILVA COSTA"</f>
        <v>TAIS DA SILVA COSTA</v>
      </c>
      <c r="F74" s="12">
        <v>0.55000000000000004</v>
      </c>
      <c r="G74" s="12">
        <v>0.32500000000000001</v>
      </c>
      <c r="H74" s="12">
        <v>0.1</v>
      </c>
    </row>
    <row r="75" spans="1:8" x14ac:dyDescent="0.2">
      <c r="A75" s="11" t="str">
        <f t="shared" si="2"/>
        <v>1</v>
      </c>
      <c r="B75" s="11" t="str">
        <f>"Educador Musical I"</f>
        <v>Educador Musical I</v>
      </c>
      <c r="C75" s="11" t="str">
        <f>"MUSICOU OLINDA"</f>
        <v>MUSICOU OLINDA</v>
      </c>
      <c r="D75" s="8">
        <v>35132</v>
      </c>
      <c r="E75" s="11" t="str">
        <f>"TANIA MARIA BELO DA SILVA"</f>
        <v>TANIA MARIA BELO DA SILVA</v>
      </c>
      <c r="F75" s="8"/>
      <c r="G75" s="8"/>
      <c r="H75" s="12">
        <v>1</v>
      </c>
    </row>
    <row r="76" spans="1:8" x14ac:dyDescent="0.2">
      <c r="A76" s="11" t="str">
        <f t="shared" si="2"/>
        <v>1</v>
      </c>
      <c r="B76" s="11" t="str">
        <f>"Analista de Doc e Acervo PL"</f>
        <v>Analista de Doc e Acervo PL</v>
      </c>
      <c r="C76" s="11" t="str">
        <f>"Compras"</f>
        <v>Compras</v>
      </c>
      <c r="D76" s="8">
        <v>32514</v>
      </c>
      <c r="E76" s="11" t="str">
        <f>"THIAGO SILVA PEREIRA"</f>
        <v>THIAGO SILVA PEREIRA</v>
      </c>
      <c r="F76" s="8"/>
      <c r="G76" s="12">
        <v>0.9</v>
      </c>
      <c r="H76" s="12">
        <v>0.1</v>
      </c>
    </row>
    <row r="77" spans="1:8" x14ac:dyDescent="0.2">
      <c r="A77" s="11" t="str">
        <f t="shared" si="2"/>
        <v>1</v>
      </c>
      <c r="B77" s="11" t="str">
        <f>"Assessor Gestão da Informação"</f>
        <v>Assessor Gestão da Informação</v>
      </c>
      <c r="C77" s="11" t="str">
        <f>"Gerencia de Planejamento"</f>
        <v>Gerencia de Planejamento</v>
      </c>
      <c r="D77" s="8">
        <v>5990355</v>
      </c>
      <c r="E77" s="11" t="str">
        <f>"TONY SHIGUEKI NAKATANI"</f>
        <v>TONY SHIGUEKI NAKATANI</v>
      </c>
      <c r="F77" s="12">
        <v>0.55000000000000004</v>
      </c>
      <c r="G77" s="12">
        <v>0.32500000000000001</v>
      </c>
      <c r="H77" s="12">
        <v>0.1</v>
      </c>
    </row>
    <row r="78" spans="1:8" x14ac:dyDescent="0.2">
      <c r="A78" s="11" t="str">
        <f t="shared" si="2"/>
        <v>1</v>
      </c>
      <c r="B78" s="11" t="str">
        <f>"Educador Musical I"</f>
        <v>Educador Musical I</v>
      </c>
      <c r="C78" s="11" t="str">
        <f>"MUSICOU DOM HELDER"</f>
        <v>MUSICOU DOM HELDER</v>
      </c>
      <c r="D78" s="8">
        <v>35133</v>
      </c>
      <c r="E78" s="11" t="str">
        <f>"WANDSON MARIO CAVALCANTE DOS SANTOS"</f>
        <v>WANDSON MARIO CAVALCANTE DOS SANTOS</v>
      </c>
      <c r="F78" s="8"/>
      <c r="G78" s="8"/>
      <c r="H78" s="12">
        <v>1</v>
      </c>
    </row>
    <row r="79" spans="1:8" x14ac:dyDescent="0.2">
      <c r="A79" s="11" t="str">
        <f t="shared" si="2"/>
        <v>1</v>
      </c>
      <c r="B79" s="11" t="str">
        <f>"Coordenador de Polo - 20h"</f>
        <v>Coordenador de Polo - 20h</v>
      </c>
      <c r="C79" s="11" t="str">
        <f>"MUSICOU QUIXERAMOBIM (NE)"</f>
        <v>MUSICOU QUIXERAMOBIM (NE)</v>
      </c>
      <c r="D79" s="8">
        <v>35123</v>
      </c>
      <c r="E79" s="11" t="str">
        <f>"YARA DE MENESES QUEIROZ"</f>
        <v>YARA DE MENESES QUEIROZ</v>
      </c>
      <c r="F79" s="8"/>
      <c r="G79" s="8"/>
      <c r="H79" s="12">
        <v>1</v>
      </c>
    </row>
    <row r="80" spans="1:8" hidden="1" x14ac:dyDescent="0.2">
      <c r="A80" s="2" t="str">
        <f t="shared" ref="A80:A143" si="3">"15"</f>
        <v>15</v>
      </c>
      <c r="B80" s="2" t="str">
        <f>"Professor(a) de Música"</f>
        <v>Professor(a) de Música</v>
      </c>
      <c r="C80" s="2" t="str">
        <f>"Teatro"</f>
        <v>Teatro</v>
      </c>
      <c r="D80" s="3">
        <v>429</v>
      </c>
      <c r="E80" s="2" t="str">
        <f>"ABNER ANTUNES ARAGAO"</f>
        <v>ABNER ANTUNES ARAGAO</v>
      </c>
    </row>
    <row r="81" spans="1:5" hidden="1" x14ac:dyDescent="0.2">
      <c r="A81" s="2" t="str">
        <f t="shared" si="3"/>
        <v>15</v>
      </c>
      <c r="B81" s="2" t="str">
        <f>"Porteiro (12x36)"</f>
        <v>Porteiro (12x36)</v>
      </c>
      <c r="C81" s="2" t="str">
        <f>"Portaria"</f>
        <v>Portaria</v>
      </c>
      <c r="D81" s="3">
        <v>382</v>
      </c>
      <c r="E81" s="2" t="str">
        <f>"ADEMIR COELHO MENDES"</f>
        <v>ADEMIR COELHO MENDES</v>
      </c>
    </row>
    <row r="82" spans="1:5" hidden="1" x14ac:dyDescent="0.2">
      <c r="A82" s="2" t="str">
        <f t="shared" si="3"/>
        <v>15</v>
      </c>
      <c r="B82" s="2" t="str">
        <f>"Professor(a) de Artes Cênicas"</f>
        <v>Professor(a) de Artes Cênicas</v>
      </c>
      <c r="C82" s="2" t="str">
        <f>"Artes Cenicas"</f>
        <v>Artes Cenicas</v>
      </c>
      <c r="D82" s="3">
        <v>498</v>
      </c>
      <c r="E82" s="2" t="str">
        <f>"ADRIANA AFONSO OLIVEIRA"</f>
        <v>ADRIANA AFONSO OLIVEIRA</v>
      </c>
    </row>
    <row r="83" spans="1:5" hidden="1" x14ac:dyDescent="0.2">
      <c r="A83" s="2" t="str">
        <f t="shared" si="3"/>
        <v>15</v>
      </c>
      <c r="B83" s="2" t="str">
        <f>"Inspetor(a) Escolar"</f>
        <v>Inspetor(a) Escolar</v>
      </c>
      <c r="C83" s="2" t="str">
        <f>"Secretaria - Conservatorio"</f>
        <v>Secretaria - Conservatorio</v>
      </c>
      <c r="D83" s="3">
        <v>672</v>
      </c>
      <c r="E83" s="2" t="str">
        <f>"ADRIANA DE JESUS TAVARES FRANCISCO"</f>
        <v>ADRIANA DE JESUS TAVARES FRANCISCO</v>
      </c>
    </row>
    <row r="84" spans="1:5" hidden="1" x14ac:dyDescent="0.2">
      <c r="A84" s="2" t="str">
        <f t="shared" si="3"/>
        <v>15</v>
      </c>
      <c r="B84" s="2" t="str">
        <f t="shared" ref="B84:B90" si="4">"Professor(a) de Música"</f>
        <v>Professor(a) de Música</v>
      </c>
      <c r="C84" s="2" t="str">
        <f>"Teatro"</f>
        <v>Teatro</v>
      </c>
      <c r="D84" s="3">
        <v>433</v>
      </c>
      <c r="E84" s="2" t="str">
        <f>"ADRIANA SCAGLIONI LIMA"</f>
        <v>ADRIANA SCAGLIONI LIMA</v>
      </c>
    </row>
    <row r="85" spans="1:5" hidden="1" x14ac:dyDescent="0.2">
      <c r="A85" s="2" t="str">
        <f t="shared" si="3"/>
        <v>15</v>
      </c>
      <c r="B85" s="2" t="str">
        <f t="shared" si="4"/>
        <v>Professor(a) de Música</v>
      </c>
      <c r="C85" s="2" t="str">
        <f>"Musicalização Infantil"</f>
        <v>Musicalização Infantil</v>
      </c>
      <c r="D85" s="3">
        <v>513</v>
      </c>
      <c r="E85" s="2" t="str">
        <f>"ADRIANO FELICIO DA COSTA"</f>
        <v>ADRIANO FELICIO DA COSTA</v>
      </c>
    </row>
    <row r="86" spans="1:5" hidden="1" x14ac:dyDescent="0.2">
      <c r="A86" s="2" t="str">
        <f t="shared" si="3"/>
        <v>15</v>
      </c>
      <c r="B86" s="2" t="str">
        <f t="shared" si="4"/>
        <v>Professor(a) de Música</v>
      </c>
      <c r="C86" s="2" t="str">
        <f>"Unidade 2"</f>
        <v>Unidade 2</v>
      </c>
      <c r="D86" s="3">
        <v>629</v>
      </c>
      <c r="E86" s="2" t="str">
        <f>"ADRIANO PAES DE CAMARGO"</f>
        <v>ADRIANO PAES DE CAMARGO</v>
      </c>
    </row>
    <row r="87" spans="1:5" hidden="1" x14ac:dyDescent="0.2">
      <c r="A87" s="2" t="str">
        <f t="shared" si="3"/>
        <v>15</v>
      </c>
      <c r="B87" s="2" t="str">
        <f t="shared" si="4"/>
        <v>Professor(a) de Música</v>
      </c>
      <c r="C87" s="2" t="str">
        <f>"Conservatorio"</f>
        <v>Conservatorio</v>
      </c>
      <c r="D87" s="3">
        <v>604</v>
      </c>
      <c r="E87" s="2" t="str">
        <f>"AGNALDO FRANCISCO DA SILVA"</f>
        <v>AGNALDO FRANCISCO DA SILVA</v>
      </c>
    </row>
    <row r="88" spans="1:5" hidden="1" x14ac:dyDescent="0.2">
      <c r="A88" s="2" t="str">
        <f t="shared" si="3"/>
        <v>15</v>
      </c>
      <c r="B88" s="2" t="str">
        <f t="shared" si="4"/>
        <v>Professor(a) de Música</v>
      </c>
      <c r="C88" s="2" t="str">
        <f>"Conservatorio"</f>
        <v>Conservatorio</v>
      </c>
      <c r="D88" s="3">
        <v>553</v>
      </c>
      <c r="E88" s="2" t="str">
        <f>"ALBERTO DE ALMEIDA BENTO DIAS"</f>
        <v>ALBERTO DE ALMEIDA BENTO DIAS</v>
      </c>
    </row>
    <row r="89" spans="1:5" hidden="1" x14ac:dyDescent="0.2">
      <c r="A89" s="2" t="str">
        <f t="shared" si="3"/>
        <v>15</v>
      </c>
      <c r="B89" s="2" t="str">
        <f t="shared" si="4"/>
        <v>Professor(a) de Música</v>
      </c>
      <c r="C89" s="2" t="str">
        <f>"Conservatorio"</f>
        <v>Conservatorio</v>
      </c>
      <c r="D89" s="3">
        <v>554</v>
      </c>
      <c r="E89" s="2" t="str">
        <f>"ALBERTO EDUARDO HONORIO CORREA"</f>
        <v>ALBERTO EDUARDO HONORIO CORREA</v>
      </c>
    </row>
    <row r="90" spans="1:5" hidden="1" x14ac:dyDescent="0.2">
      <c r="A90" s="2" t="str">
        <f t="shared" si="3"/>
        <v>15</v>
      </c>
      <c r="B90" s="2" t="str">
        <f t="shared" si="4"/>
        <v>Professor(a) de Música</v>
      </c>
      <c r="C90" s="2" t="str">
        <f>"Conservatorio"</f>
        <v>Conservatorio</v>
      </c>
      <c r="D90" s="3">
        <v>566</v>
      </c>
      <c r="E90" s="2" t="str">
        <f>"ALBERTO MENON SODRE"</f>
        <v>ALBERTO MENON SODRE</v>
      </c>
    </row>
    <row r="91" spans="1:5" hidden="1" x14ac:dyDescent="0.2">
      <c r="A91" s="2" t="str">
        <f t="shared" si="3"/>
        <v>15</v>
      </c>
      <c r="B91" s="2" t="str">
        <f>"Ajudante em Serviços Gerais"</f>
        <v>Ajudante em Serviços Gerais</v>
      </c>
      <c r="C91" s="2" t="str">
        <f>"Infraestrutura - Conservatório"</f>
        <v>Infraestrutura - Conservatório</v>
      </c>
      <c r="D91" s="3">
        <v>390</v>
      </c>
      <c r="E91" s="2" t="str">
        <f>"ALESSANDRO NOEL GALVAO"</f>
        <v>ALESSANDRO NOEL GALVAO</v>
      </c>
    </row>
    <row r="92" spans="1:5" hidden="1" x14ac:dyDescent="0.2">
      <c r="A92" s="2" t="str">
        <f t="shared" si="3"/>
        <v>15</v>
      </c>
      <c r="B92" s="2" t="str">
        <f>"Inspetor(a) Escolar"</f>
        <v>Inspetor(a) Escolar</v>
      </c>
      <c r="C92" s="2" t="str">
        <f>"Secretaria - Conservatorio"</f>
        <v>Secretaria - Conservatorio</v>
      </c>
      <c r="D92" s="3">
        <v>676</v>
      </c>
      <c r="E92" s="2" t="str">
        <f>"ALEXANDRA APARECIDA CARESIA DE SOUSA"</f>
        <v>ALEXANDRA APARECIDA CARESIA DE SOUSA</v>
      </c>
    </row>
    <row r="93" spans="1:5" hidden="1" x14ac:dyDescent="0.2">
      <c r="A93" s="2" t="str">
        <f t="shared" si="3"/>
        <v>15</v>
      </c>
      <c r="B93" s="2" t="str">
        <f>"Professor(a) de Música"</f>
        <v>Professor(a) de Música</v>
      </c>
      <c r="C93" s="2" t="str">
        <f>"Unidade 2"</f>
        <v>Unidade 2</v>
      </c>
      <c r="D93" s="3">
        <v>608</v>
      </c>
      <c r="E93" s="2" t="str">
        <f>"ALEXANDRE BAUAB JUNIOR"</f>
        <v>ALEXANDRE BAUAB JUNIOR</v>
      </c>
    </row>
    <row r="94" spans="1:5" hidden="1" x14ac:dyDescent="0.2">
      <c r="A94" s="2" t="str">
        <f t="shared" si="3"/>
        <v>15</v>
      </c>
      <c r="B94" s="2" t="str">
        <f>"Bilheteira"</f>
        <v>Bilheteira</v>
      </c>
      <c r="C94" s="2" t="str">
        <f>"Teatro"</f>
        <v>Teatro</v>
      </c>
      <c r="D94" s="3">
        <v>409</v>
      </c>
      <c r="E94" s="2" t="str">
        <f>"ALICE DE FATIMA MARTINS"</f>
        <v>ALICE DE FATIMA MARTINS</v>
      </c>
    </row>
    <row r="95" spans="1:5" hidden="1" x14ac:dyDescent="0.2">
      <c r="A95" s="2" t="str">
        <f t="shared" si="3"/>
        <v>15</v>
      </c>
      <c r="B95" s="2" t="str">
        <f t="shared" ref="B95:B102" si="5">"Professor(a) de Música"</f>
        <v>Professor(a) de Música</v>
      </c>
      <c r="C95" s="2" t="str">
        <f>"Unidade 2"</f>
        <v>Unidade 2</v>
      </c>
      <c r="D95" s="3">
        <v>686</v>
      </c>
      <c r="E95" s="2" t="str">
        <f>"ALTAMIRO DORTA BERNARDES JUNIOR"</f>
        <v>ALTAMIRO DORTA BERNARDES JUNIOR</v>
      </c>
    </row>
    <row r="96" spans="1:5" hidden="1" x14ac:dyDescent="0.2">
      <c r="A96" s="2" t="str">
        <f t="shared" si="3"/>
        <v>15</v>
      </c>
      <c r="B96" s="2" t="str">
        <f t="shared" si="5"/>
        <v>Professor(a) de Música</v>
      </c>
      <c r="C96" s="2" t="str">
        <f>"Unidade 2"</f>
        <v>Unidade 2</v>
      </c>
      <c r="D96" s="3">
        <v>609</v>
      </c>
      <c r="E96" s="2" t="str">
        <f>"ALTINO CORREA DE TOLEDO NETO"</f>
        <v>ALTINO CORREA DE TOLEDO NETO</v>
      </c>
    </row>
    <row r="97" spans="1:5" hidden="1" x14ac:dyDescent="0.2">
      <c r="A97" s="2" t="str">
        <f t="shared" si="3"/>
        <v>15</v>
      </c>
      <c r="B97" s="2" t="str">
        <f t="shared" si="5"/>
        <v>Professor(a) de Música</v>
      </c>
      <c r="C97" s="2" t="str">
        <f>"Conservatorio"</f>
        <v>Conservatorio</v>
      </c>
      <c r="D97" s="3">
        <v>562</v>
      </c>
      <c r="E97" s="2" t="str">
        <f>"ANA CAROLINA MALTA AVILLA"</f>
        <v>ANA CAROLINA MALTA AVILLA</v>
      </c>
    </row>
    <row r="98" spans="1:5" hidden="1" x14ac:dyDescent="0.2">
      <c r="A98" s="2" t="str">
        <f t="shared" si="3"/>
        <v>15</v>
      </c>
      <c r="B98" s="2" t="str">
        <f t="shared" si="5"/>
        <v>Professor(a) de Música</v>
      </c>
      <c r="C98" s="2" t="str">
        <f>"Conservatorio"</f>
        <v>Conservatorio</v>
      </c>
      <c r="D98" s="3">
        <v>517</v>
      </c>
      <c r="E98" s="2" t="str">
        <f>"ANA INGRID LISBOA DE ALMEIDA"</f>
        <v>ANA INGRID LISBOA DE ALMEIDA</v>
      </c>
    </row>
    <row r="99" spans="1:5" hidden="1" x14ac:dyDescent="0.2">
      <c r="A99" s="2" t="str">
        <f t="shared" si="3"/>
        <v>15</v>
      </c>
      <c r="B99" s="2" t="str">
        <f t="shared" si="5"/>
        <v>Professor(a) de Música</v>
      </c>
      <c r="C99" s="2" t="str">
        <f>"Unidade 2"</f>
        <v>Unidade 2</v>
      </c>
      <c r="D99" s="3">
        <v>655</v>
      </c>
      <c r="E99" s="2" t="str">
        <f>"ANA LUCIA LEITE"</f>
        <v>ANA LUCIA LEITE</v>
      </c>
    </row>
    <row r="100" spans="1:5" hidden="1" x14ac:dyDescent="0.2">
      <c r="A100" s="2" t="str">
        <f t="shared" si="3"/>
        <v>15</v>
      </c>
      <c r="B100" s="2" t="str">
        <f t="shared" si="5"/>
        <v>Professor(a) de Música</v>
      </c>
      <c r="C100" s="2" t="str">
        <f>"Unidade 2"</f>
        <v>Unidade 2</v>
      </c>
      <c r="D100" s="3">
        <v>622</v>
      </c>
      <c r="E100" s="2" t="str">
        <f>"ANA MARIA DE SOUZA"</f>
        <v>ANA MARIA DE SOUZA</v>
      </c>
    </row>
    <row r="101" spans="1:5" hidden="1" x14ac:dyDescent="0.2">
      <c r="A101" s="2" t="str">
        <f t="shared" si="3"/>
        <v>15</v>
      </c>
      <c r="B101" s="2" t="str">
        <f t="shared" si="5"/>
        <v>Professor(a) de Música</v>
      </c>
      <c r="C101" s="2" t="str">
        <f>"Conservatorio"</f>
        <v>Conservatorio</v>
      </c>
      <c r="D101" s="3">
        <v>518</v>
      </c>
      <c r="E101" s="2" t="str">
        <f>"ANA MARIA TEIXEIRA DE ALMEIDA"</f>
        <v>ANA MARIA TEIXEIRA DE ALMEIDA</v>
      </c>
    </row>
    <row r="102" spans="1:5" hidden="1" x14ac:dyDescent="0.2">
      <c r="A102" s="2" t="str">
        <f t="shared" si="3"/>
        <v>15</v>
      </c>
      <c r="B102" s="2" t="str">
        <f t="shared" si="5"/>
        <v>Professor(a) de Música</v>
      </c>
      <c r="C102" s="2" t="str">
        <f>"Conservatorio"</f>
        <v>Conservatorio</v>
      </c>
      <c r="D102" s="3">
        <v>688</v>
      </c>
      <c r="E102" s="2" t="str">
        <f>"ANDERSON BRUNO PEREIRA"</f>
        <v>ANDERSON BRUNO PEREIRA</v>
      </c>
    </row>
    <row r="103" spans="1:5" hidden="1" x14ac:dyDescent="0.2">
      <c r="A103" s="2" t="str">
        <f t="shared" si="3"/>
        <v>15</v>
      </c>
      <c r="B103" s="2" t="str">
        <f>"Inspetor(a) Escolar"</f>
        <v>Inspetor(a) Escolar</v>
      </c>
      <c r="C103" s="2" t="str">
        <f>"Secretaria - Conservatorio"</f>
        <v>Secretaria - Conservatorio</v>
      </c>
      <c r="D103" s="3">
        <v>35089</v>
      </c>
      <c r="E103" s="2" t="str">
        <f>"ANDERSON DA SILVA CAVALCANTI SANTANA"</f>
        <v>ANDERSON DA SILVA CAVALCANTI SANTANA</v>
      </c>
    </row>
    <row r="104" spans="1:5" hidden="1" x14ac:dyDescent="0.2">
      <c r="A104" s="2" t="str">
        <f t="shared" si="3"/>
        <v>15</v>
      </c>
      <c r="B104" s="2" t="str">
        <f>"Professor(a) de Música"</f>
        <v>Professor(a) de Música</v>
      </c>
      <c r="C104" s="2" t="str">
        <f>"Polo Sao Jose do Rio Pardo"</f>
        <v>Polo Sao Jose do Rio Pardo</v>
      </c>
      <c r="D104" s="3">
        <v>35080</v>
      </c>
      <c r="E104" s="2" t="str">
        <f>"ANDRE DA SILVA BATISTON"</f>
        <v>ANDRE DA SILVA BATISTON</v>
      </c>
    </row>
    <row r="105" spans="1:5" hidden="1" x14ac:dyDescent="0.2">
      <c r="A105" s="2" t="str">
        <f t="shared" si="3"/>
        <v>15</v>
      </c>
      <c r="B105" s="2" t="str">
        <f>"Professor(a) de Artes Cênicas"</f>
        <v>Professor(a) de Artes Cênicas</v>
      </c>
      <c r="C105" s="2" t="str">
        <f>"Artes Cenicas"</f>
        <v>Artes Cenicas</v>
      </c>
      <c r="D105" s="3">
        <v>493</v>
      </c>
      <c r="E105" s="2" t="str">
        <f>"ANDRE LUIS CAMARGO"</f>
        <v>ANDRE LUIS CAMARGO</v>
      </c>
    </row>
    <row r="106" spans="1:5" hidden="1" x14ac:dyDescent="0.2">
      <c r="A106" s="2" t="str">
        <f t="shared" si="3"/>
        <v>15</v>
      </c>
      <c r="B106" s="2" t="str">
        <f>"Professor(a) de Música"</f>
        <v>Professor(a) de Música</v>
      </c>
      <c r="C106" s="2" t="str">
        <f>"Conservatorio"</f>
        <v>Conservatorio</v>
      </c>
      <c r="D106" s="3">
        <v>35085</v>
      </c>
      <c r="E106" s="2" t="str">
        <f>"ANGELA DELGADO DUARTE LIGOCKI"</f>
        <v>ANGELA DELGADO DUARTE LIGOCKI</v>
      </c>
    </row>
    <row r="107" spans="1:5" hidden="1" x14ac:dyDescent="0.2">
      <c r="A107" s="2" t="str">
        <f t="shared" si="3"/>
        <v>15</v>
      </c>
      <c r="B107" s="2" t="str">
        <f>"Professor(a) de Música"</f>
        <v>Professor(a) de Música</v>
      </c>
      <c r="C107" s="2" t="str">
        <f>"Unidade 2"</f>
        <v>Unidade 2</v>
      </c>
      <c r="D107" s="3">
        <v>623</v>
      </c>
      <c r="E107" s="2" t="str">
        <f>"ANGELA TEREZA MUNER"</f>
        <v>ANGELA TEREZA MUNER</v>
      </c>
    </row>
    <row r="108" spans="1:5" hidden="1" x14ac:dyDescent="0.2">
      <c r="A108" s="2" t="str">
        <f t="shared" si="3"/>
        <v>15</v>
      </c>
      <c r="B108" s="2" t="str">
        <f>"Professor(a) de Música"</f>
        <v>Professor(a) de Música</v>
      </c>
      <c r="C108" s="2" t="str">
        <f>"Conservatorio"</f>
        <v>Conservatorio</v>
      </c>
      <c r="D108" s="3">
        <v>540</v>
      </c>
      <c r="E108" s="2" t="str">
        <f>"ANSELMO PEREIRA DA SILVA"</f>
        <v>ANSELMO PEREIRA DA SILVA</v>
      </c>
    </row>
    <row r="109" spans="1:5" hidden="1" x14ac:dyDescent="0.2">
      <c r="A109" s="2" t="str">
        <f t="shared" si="3"/>
        <v>15</v>
      </c>
      <c r="B109" s="2" t="str">
        <f>"Professor(a) de Música"</f>
        <v>Professor(a) de Música</v>
      </c>
      <c r="C109" s="2" t="str">
        <f>"Unidade 2"</f>
        <v>Unidade 2</v>
      </c>
      <c r="D109" s="3">
        <v>662</v>
      </c>
      <c r="E109" s="2" t="str">
        <f>"ANSELMO VANDERLEI MELOSI"</f>
        <v>ANSELMO VANDERLEI MELOSI</v>
      </c>
    </row>
    <row r="110" spans="1:5" hidden="1" x14ac:dyDescent="0.2">
      <c r="A110" s="2" t="str">
        <f t="shared" si="3"/>
        <v>15</v>
      </c>
      <c r="B110" s="2" t="str">
        <f>"Professor(a) de Música"</f>
        <v>Professor(a) de Música</v>
      </c>
      <c r="C110" s="2" t="str">
        <f>"Polo Sao Jose do Rio Pardo"</f>
        <v>Polo Sao Jose do Rio Pardo</v>
      </c>
      <c r="D110" s="3">
        <v>585</v>
      </c>
      <c r="E110" s="2" t="str">
        <f>"ANTONIO JOSE GRISOLIA BORTOLOTO"</f>
        <v>ANTONIO JOSE GRISOLIA BORTOLOTO</v>
      </c>
    </row>
    <row r="111" spans="1:5" hidden="1" x14ac:dyDescent="0.2">
      <c r="A111" s="2" t="str">
        <f t="shared" si="3"/>
        <v>15</v>
      </c>
      <c r="B111" s="2" t="str">
        <f>"Gerente Artístico Pedagógico I"</f>
        <v>Gerente Artístico Pedagógico I</v>
      </c>
      <c r="C111" s="2" t="str">
        <f>"Artes Cenicas"</f>
        <v>Artes Cenicas</v>
      </c>
      <c r="D111" s="3">
        <v>34956</v>
      </c>
      <c r="E111" s="2" t="str">
        <f>"ANTONIO SALVADOR BEATRIZ ANTUNES"</f>
        <v>ANTONIO SALVADOR BEATRIZ ANTUNES</v>
      </c>
    </row>
    <row r="112" spans="1:5" hidden="1" x14ac:dyDescent="0.2">
      <c r="A112" s="2" t="str">
        <f t="shared" si="3"/>
        <v>15</v>
      </c>
      <c r="B112" s="2" t="str">
        <f>"Professor(a) de Música"</f>
        <v>Professor(a) de Música</v>
      </c>
      <c r="C112" s="2" t="str">
        <f>"Conservatorio"</f>
        <v>Conservatorio</v>
      </c>
      <c r="D112" s="3">
        <v>570</v>
      </c>
      <c r="E112" s="2" t="str">
        <f>"APARECIDO SERGIO BURGO FRIGERIO"</f>
        <v>APARECIDO SERGIO BURGO FRIGERIO</v>
      </c>
    </row>
    <row r="113" spans="1:5" hidden="1" x14ac:dyDescent="0.2">
      <c r="A113" s="2" t="str">
        <f t="shared" si="3"/>
        <v>15</v>
      </c>
      <c r="B113" s="2" t="str">
        <f>"Assistente Recursos Humanos"</f>
        <v>Assistente Recursos Humanos</v>
      </c>
      <c r="C113" s="2" t="str">
        <f>"Adm - RH"</f>
        <v>Adm - RH</v>
      </c>
      <c r="D113" s="3">
        <v>34964</v>
      </c>
      <c r="E113" s="2" t="str">
        <f>"ARIANE CAZZOLATO DOTTA"</f>
        <v>ARIANE CAZZOLATO DOTTA</v>
      </c>
    </row>
    <row r="114" spans="1:5" hidden="1" x14ac:dyDescent="0.2">
      <c r="A114" s="2" t="str">
        <f t="shared" si="3"/>
        <v>15</v>
      </c>
      <c r="B114" s="2" t="str">
        <f>"Professor(a) de Música"</f>
        <v>Professor(a) de Música</v>
      </c>
      <c r="C114" s="2" t="str">
        <f>"Teatro"</f>
        <v>Teatro</v>
      </c>
      <c r="D114" s="3">
        <v>455</v>
      </c>
      <c r="E114" s="2" t="str">
        <f>"ARIANE ROSEIRO SILVESTRE"</f>
        <v>ARIANE ROSEIRO SILVESTRE</v>
      </c>
    </row>
    <row r="115" spans="1:5" hidden="1" x14ac:dyDescent="0.2">
      <c r="A115" s="2" t="str">
        <f t="shared" si="3"/>
        <v>15</v>
      </c>
      <c r="B115" s="2" t="str">
        <f>"Professor(a) de Música"</f>
        <v>Professor(a) de Música</v>
      </c>
      <c r="C115" s="2" t="str">
        <f>"Conservatorio"</f>
        <v>Conservatorio</v>
      </c>
      <c r="D115" s="3">
        <v>569</v>
      </c>
      <c r="E115" s="2" t="str">
        <f>"BEATRIZ GOES DO ESPIRITO SANTO"</f>
        <v>BEATRIZ GOES DO ESPIRITO SANTO</v>
      </c>
    </row>
    <row r="116" spans="1:5" hidden="1" x14ac:dyDescent="0.2">
      <c r="A116" s="2" t="str">
        <f t="shared" si="3"/>
        <v>15</v>
      </c>
      <c r="B116" s="2" t="str">
        <f>"Professor(a) de Música"</f>
        <v>Professor(a) de Música</v>
      </c>
      <c r="C116" s="2" t="str">
        <f>"Polo Sao Jose do Rio Pardo"</f>
        <v>Polo Sao Jose do Rio Pardo</v>
      </c>
      <c r="D116" s="3">
        <v>586</v>
      </c>
      <c r="E116" s="2" t="str">
        <f>"BENEDICTO BUENO GURGEL JUNIOR"</f>
        <v>BENEDICTO BUENO GURGEL JUNIOR</v>
      </c>
    </row>
    <row r="117" spans="1:5" hidden="1" x14ac:dyDescent="0.2">
      <c r="A117" s="2" t="str">
        <f t="shared" si="3"/>
        <v>15</v>
      </c>
      <c r="B117" s="2" t="str">
        <f>"Professor(a) de Música"</f>
        <v>Professor(a) de Música</v>
      </c>
      <c r="C117" s="2" t="str">
        <f>"Unidade 2"</f>
        <v>Unidade 2</v>
      </c>
      <c r="D117" s="3">
        <v>606</v>
      </c>
      <c r="E117" s="2" t="str">
        <f>"BENEDITO ALBERTO DE PAULA"</f>
        <v>BENEDITO ALBERTO DE PAULA</v>
      </c>
    </row>
    <row r="118" spans="1:5" hidden="1" x14ac:dyDescent="0.2">
      <c r="A118" s="2" t="str">
        <f t="shared" si="3"/>
        <v>15</v>
      </c>
      <c r="B118" s="2" t="str">
        <f>"Auxiliar de Polo"</f>
        <v>Auxiliar de Polo</v>
      </c>
      <c r="C118" s="2" t="str">
        <f>"Polo Sao Jose do Rio Pardo"</f>
        <v>Polo Sao Jose do Rio Pardo</v>
      </c>
      <c r="D118" s="3">
        <v>34982</v>
      </c>
      <c r="E118" s="2" t="str">
        <f>"BRUNO RODRIGO BRIZOTI MENDONÇA"</f>
        <v>BRUNO RODRIGO BRIZOTI MENDONÇA</v>
      </c>
    </row>
    <row r="119" spans="1:5" hidden="1" x14ac:dyDescent="0.2">
      <c r="A119" s="2" t="str">
        <f t="shared" si="3"/>
        <v>15</v>
      </c>
      <c r="B119" s="2" t="str">
        <f>"Ajudante em Serviços Gerais"</f>
        <v>Ajudante em Serviços Gerais</v>
      </c>
      <c r="C119" s="2" t="str">
        <f>"Infraestrutura - Conservatório"</f>
        <v>Infraestrutura - Conservatório</v>
      </c>
      <c r="D119" s="3">
        <v>386</v>
      </c>
      <c r="E119" s="2" t="str">
        <f>"CARLA ANDREA OLIVEIRA LEME"</f>
        <v>CARLA ANDREA OLIVEIRA LEME</v>
      </c>
    </row>
    <row r="120" spans="1:5" hidden="1" x14ac:dyDescent="0.2">
      <c r="A120" s="2" t="str">
        <f t="shared" si="3"/>
        <v>15</v>
      </c>
      <c r="B120" s="2" t="str">
        <f>"Coord Tec Artistico Pedagogico"</f>
        <v>Coord Tec Artistico Pedagogico</v>
      </c>
      <c r="C120" s="2" t="str">
        <f>"Conservatorio"</f>
        <v>Conservatorio</v>
      </c>
      <c r="D120" s="3">
        <v>35129</v>
      </c>
      <c r="E120" s="2" t="str">
        <f>"CARLO VINICIUS ROSA ARRUDA"</f>
        <v>CARLO VINICIUS ROSA ARRUDA</v>
      </c>
    </row>
    <row r="121" spans="1:5" hidden="1" x14ac:dyDescent="0.2">
      <c r="A121" s="2" t="str">
        <f t="shared" si="3"/>
        <v>15</v>
      </c>
      <c r="B121" s="2" t="str">
        <f>"Professor(a) de Música"</f>
        <v>Professor(a) de Música</v>
      </c>
      <c r="C121" s="2" t="str">
        <f>"Teatro"</f>
        <v>Teatro</v>
      </c>
      <c r="D121" s="3">
        <v>458</v>
      </c>
      <c r="E121" s="2" t="str">
        <f>"CARLOS CASSIUS DE BIASI"</f>
        <v>CARLOS CASSIUS DE BIASI</v>
      </c>
    </row>
    <row r="122" spans="1:5" hidden="1" x14ac:dyDescent="0.2">
      <c r="A122" s="2" t="str">
        <f t="shared" si="3"/>
        <v>15</v>
      </c>
      <c r="B122" s="2" t="str">
        <f>"Professor(a) de Música"</f>
        <v>Professor(a) de Música</v>
      </c>
      <c r="C122" s="2" t="str">
        <f>"Conservatorio"</f>
        <v>Conservatorio</v>
      </c>
      <c r="D122" s="3">
        <v>519</v>
      </c>
      <c r="E122" s="2" t="str">
        <f>"CARLOS ROBERTO MORAES"</f>
        <v>CARLOS ROBERTO MORAES</v>
      </c>
    </row>
    <row r="123" spans="1:5" hidden="1" x14ac:dyDescent="0.2">
      <c r="A123" s="2" t="str">
        <f t="shared" si="3"/>
        <v>15</v>
      </c>
      <c r="B123" s="2" t="str">
        <f>"Professor(a) de Música"</f>
        <v>Professor(a) de Música</v>
      </c>
      <c r="C123" s="2" t="str">
        <f>"Musicalização Infantil"</f>
        <v>Musicalização Infantil</v>
      </c>
      <c r="D123" s="3">
        <v>35061</v>
      </c>
      <c r="E123" s="2" t="str">
        <f>"CECILIA FERREIRA BORTOLI"</f>
        <v>CECILIA FERREIRA BORTOLI</v>
      </c>
    </row>
    <row r="124" spans="1:5" hidden="1" x14ac:dyDescent="0.2">
      <c r="A124" s="2" t="str">
        <f t="shared" si="3"/>
        <v>15</v>
      </c>
      <c r="B124" s="2" t="str">
        <f>"Professor(a) de Música"</f>
        <v>Professor(a) de Música</v>
      </c>
      <c r="C124" s="2" t="str">
        <f>"Conservatorio"</f>
        <v>Conservatorio</v>
      </c>
      <c r="D124" s="3">
        <v>572</v>
      </c>
      <c r="E124" s="2" t="str">
        <f>"CELSO VEAGNOLI"</f>
        <v>CELSO VEAGNOLI</v>
      </c>
    </row>
    <row r="125" spans="1:5" hidden="1" x14ac:dyDescent="0.2">
      <c r="A125" s="2" t="str">
        <f t="shared" si="3"/>
        <v>15</v>
      </c>
      <c r="B125" s="2" t="str">
        <f>"Psicologo"</f>
        <v>Psicologo</v>
      </c>
      <c r="C125" s="2" t="str">
        <f>"Secretaria - Conservatorio"</f>
        <v>Secretaria - Conservatorio</v>
      </c>
      <c r="D125" s="3">
        <v>34953</v>
      </c>
      <c r="E125" s="2" t="str">
        <f>"CLARA DE LIMA PATRIZI JORGE"</f>
        <v>CLARA DE LIMA PATRIZI JORGE</v>
      </c>
    </row>
    <row r="126" spans="1:5" hidden="1" x14ac:dyDescent="0.2">
      <c r="A126" s="2" t="str">
        <f t="shared" si="3"/>
        <v>15</v>
      </c>
      <c r="B126" s="2" t="str">
        <f>"Supervisor Contabil"</f>
        <v>Supervisor Contabil</v>
      </c>
      <c r="C126" s="2" t="str">
        <f>"Adm - Contabilidade"</f>
        <v>Adm - Contabilidade</v>
      </c>
      <c r="D126" s="3">
        <v>354</v>
      </c>
      <c r="E126" s="2" t="str">
        <f>"CLAUDIA DOS ANJOS SILVA"</f>
        <v>CLAUDIA DOS ANJOS SILVA</v>
      </c>
    </row>
    <row r="127" spans="1:5" hidden="1" x14ac:dyDescent="0.2">
      <c r="A127" s="2" t="str">
        <f t="shared" si="3"/>
        <v>15</v>
      </c>
      <c r="B127" s="2" t="str">
        <f>"Professor(a) de Música"</f>
        <v>Professor(a) de Música</v>
      </c>
      <c r="C127" s="2" t="str">
        <f>"Teatro"</f>
        <v>Teatro</v>
      </c>
      <c r="D127" s="3">
        <v>472</v>
      </c>
      <c r="E127" s="2" t="str">
        <f>"CLAUDIO MANOEL DE OLIVEIRA"</f>
        <v>CLAUDIO MANOEL DE OLIVEIRA</v>
      </c>
    </row>
    <row r="128" spans="1:5" hidden="1" x14ac:dyDescent="0.2">
      <c r="A128" s="2" t="str">
        <f t="shared" si="3"/>
        <v>15</v>
      </c>
      <c r="B128" s="2" t="str">
        <f>"Professor(a) de Música"</f>
        <v>Professor(a) de Música</v>
      </c>
      <c r="C128" s="2" t="str">
        <f>"Conservatorio"</f>
        <v>Conservatorio</v>
      </c>
      <c r="D128" s="3">
        <v>571</v>
      </c>
      <c r="E128" s="2" t="str">
        <f>"CLAUDIO SAMPAIO"</f>
        <v>CLAUDIO SAMPAIO</v>
      </c>
    </row>
    <row r="129" spans="1:5" hidden="1" x14ac:dyDescent="0.2">
      <c r="A129" s="2" t="str">
        <f t="shared" si="3"/>
        <v>15</v>
      </c>
      <c r="B129" s="2" t="str">
        <f>"Inspetor(a) Escolar"</f>
        <v>Inspetor(a) Escolar</v>
      </c>
      <c r="C129" s="2" t="str">
        <f>"Secretaria - Conservatorio"</f>
        <v>Secretaria - Conservatorio</v>
      </c>
      <c r="D129" s="3">
        <v>673</v>
      </c>
      <c r="E129" s="2" t="str">
        <f>"CLOTILDE ELIZABETH DOS SANTOS"</f>
        <v>CLOTILDE ELIZABETH DOS SANTOS</v>
      </c>
    </row>
    <row r="130" spans="1:5" hidden="1" x14ac:dyDescent="0.2">
      <c r="A130" s="2" t="str">
        <f t="shared" si="3"/>
        <v>15</v>
      </c>
      <c r="B130" s="2" t="str">
        <f>"Professor(a) de Música"</f>
        <v>Professor(a) de Música</v>
      </c>
      <c r="C130" s="2" t="str">
        <f>"Conservatorio"</f>
        <v>Conservatorio</v>
      </c>
      <c r="D130" s="3">
        <v>526</v>
      </c>
      <c r="E130" s="2" t="str">
        <f>"CRISTIANE CIBELI DE ALMEIDA BLOES SILVA"</f>
        <v>CRISTIANE CIBELI DE ALMEIDA BLOES SILVA</v>
      </c>
    </row>
    <row r="131" spans="1:5" hidden="1" x14ac:dyDescent="0.2">
      <c r="A131" s="2" t="str">
        <f t="shared" si="3"/>
        <v>15</v>
      </c>
      <c r="B131" s="2" t="str">
        <f>"Assistente de Secretaria"</f>
        <v>Assistente de Secretaria</v>
      </c>
      <c r="C131" s="2" t="str">
        <f>"Secretaria - Conservatorio"</f>
        <v>Secretaria - Conservatorio</v>
      </c>
      <c r="D131" s="3">
        <v>35031</v>
      </c>
      <c r="E131" s="2" t="str">
        <f>"CRISTINE RODRIGUES DA COSTA"</f>
        <v>CRISTINE RODRIGUES DA COSTA</v>
      </c>
    </row>
    <row r="132" spans="1:5" hidden="1" x14ac:dyDescent="0.2">
      <c r="A132" s="2" t="str">
        <f t="shared" si="3"/>
        <v>15</v>
      </c>
      <c r="B132" s="2" t="str">
        <f>"Professor(a) de Música"</f>
        <v>Professor(a) de Música</v>
      </c>
      <c r="C132" s="2" t="str">
        <f>"Unidade 2"</f>
        <v>Unidade 2</v>
      </c>
      <c r="D132" s="3">
        <v>624</v>
      </c>
      <c r="E132" s="2" t="str">
        <f>"DAGMA CIBELE EID"</f>
        <v>DAGMA CIBELE EID</v>
      </c>
    </row>
    <row r="133" spans="1:5" hidden="1" x14ac:dyDescent="0.2">
      <c r="A133" s="2" t="str">
        <f t="shared" si="3"/>
        <v>15</v>
      </c>
      <c r="B133" s="2" t="str">
        <f>"Inspetor(a) Escolar"</f>
        <v>Inspetor(a) Escolar</v>
      </c>
      <c r="C133" s="2" t="str">
        <f>"Secretaria - Conservatorio"</f>
        <v>Secretaria - Conservatorio</v>
      </c>
      <c r="D133" s="3">
        <v>678</v>
      </c>
      <c r="E133" s="2" t="str">
        <f>"DAISY ROSA DE OLIVEIRA RIBEIRO"</f>
        <v>DAISY ROSA DE OLIVEIRA RIBEIRO</v>
      </c>
    </row>
    <row r="134" spans="1:5" hidden="1" x14ac:dyDescent="0.2">
      <c r="A134" s="2" t="str">
        <f t="shared" si="3"/>
        <v>15</v>
      </c>
      <c r="B134" s="2" t="str">
        <f>"Professor(a) de Artes Cênicas"</f>
        <v>Professor(a) de Artes Cênicas</v>
      </c>
      <c r="C134" s="2" t="str">
        <f>"Artes Cenicas"</f>
        <v>Artes Cenicas</v>
      </c>
      <c r="D134" s="3">
        <v>499</v>
      </c>
      <c r="E134" s="2" t="str">
        <f>"DALILA RIBEIRO SANTOS GUIMARAES"</f>
        <v>DALILA RIBEIRO SANTOS GUIMARAES</v>
      </c>
    </row>
    <row r="135" spans="1:5" hidden="1" x14ac:dyDescent="0.2">
      <c r="A135" s="2" t="str">
        <f t="shared" si="3"/>
        <v>15</v>
      </c>
      <c r="B135" s="2" t="str">
        <f>"Comprador JR"</f>
        <v>Comprador JR</v>
      </c>
      <c r="C135" s="2" t="str">
        <f>"Adm - Compras"</f>
        <v>Adm - Compras</v>
      </c>
      <c r="D135" s="3">
        <v>348</v>
      </c>
      <c r="E135" s="2" t="str">
        <f>"DANIELE JACO GONCALVES CANDIDO"</f>
        <v>DANIELE JACO GONCALVES CANDIDO</v>
      </c>
    </row>
    <row r="136" spans="1:5" hidden="1" x14ac:dyDescent="0.2">
      <c r="A136" s="2" t="str">
        <f t="shared" si="3"/>
        <v>15</v>
      </c>
      <c r="B136" s="2" t="str">
        <f>"Inspetor(a) Escolar"</f>
        <v>Inspetor(a) Escolar</v>
      </c>
      <c r="C136" s="2" t="str">
        <f>"Secretaria - Conservatorio"</f>
        <v>Secretaria - Conservatorio</v>
      </c>
      <c r="D136" s="3">
        <v>35124</v>
      </c>
      <c r="E136" s="2" t="str">
        <f>"DANILO PINTO CORREA SILVEIRA"</f>
        <v>DANILO PINTO CORREA SILVEIRA</v>
      </c>
    </row>
    <row r="137" spans="1:5" hidden="1" x14ac:dyDescent="0.2">
      <c r="A137" s="2" t="str">
        <f t="shared" si="3"/>
        <v>15</v>
      </c>
      <c r="B137" s="2" t="str">
        <f>"Professor(a) de Música"</f>
        <v>Professor(a) de Música</v>
      </c>
      <c r="C137" s="2" t="str">
        <f>"Conservatorio"</f>
        <v>Conservatorio</v>
      </c>
      <c r="D137" s="3">
        <v>615</v>
      </c>
      <c r="E137" s="2" t="str">
        <f>"DARLI MARGARETE VENTURA PAULILLO"</f>
        <v>DARLI MARGARETE VENTURA PAULILLO</v>
      </c>
    </row>
    <row r="138" spans="1:5" hidden="1" x14ac:dyDescent="0.2">
      <c r="A138" s="2" t="str">
        <f t="shared" si="3"/>
        <v>15</v>
      </c>
      <c r="B138" s="2" t="str">
        <f>"Professor(a) de Música"</f>
        <v>Professor(a) de Música</v>
      </c>
      <c r="C138" s="2" t="str">
        <f>"Conservatorio"</f>
        <v>Conservatorio</v>
      </c>
      <c r="D138" s="3">
        <v>556</v>
      </c>
      <c r="E138" s="2" t="str">
        <f>"DAURI DA SILVA"</f>
        <v>DAURI DA SILVA</v>
      </c>
    </row>
    <row r="139" spans="1:5" hidden="1" x14ac:dyDescent="0.2">
      <c r="A139" s="2" t="str">
        <f t="shared" si="3"/>
        <v>15</v>
      </c>
      <c r="B139" s="2" t="str">
        <f>"Professor(a) de Música"</f>
        <v>Professor(a) de Música</v>
      </c>
      <c r="C139" s="2" t="str">
        <f>"Polo Sao Jose do Rio Pardo"</f>
        <v>Polo Sao Jose do Rio Pardo</v>
      </c>
      <c r="D139" s="3">
        <v>596</v>
      </c>
      <c r="E139" s="2" t="str">
        <f>"DAVID MUNERATTO"</f>
        <v>DAVID MUNERATTO</v>
      </c>
    </row>
    <row r="140" spans="1:5" hidden="1" x14ac:dyDescent="0.2">
      <c r="A140" s="2" t="str">
        <f t="shared" si="3"/>
        <v>15</v>
      </c>
      <c r="B140" s="2" t="str">
        <f>"Professor(a) de Música"</f>
        <v>Professor(a) de Música</v>
      </c>
      <c r="C140" s="2" t="str">
        <f>"Conservatorio"</f>
        <v>Conservatorio</v>
      </c>
      <c r="D140" s="3">
        <v>482</v>
      </c>
      <c r="E140" s="2" t="str">
        <f>"DAYANE CRISTYNE VILLENA RODRIGUES"</f>
        <v>DAYANE CRISTYNE VILLENA RODRIGUES</v>
      </c>
    </row>
    <row r="141" spans="1:5" hidden="1" x14ac:dyDescent="0.2">
      <c r="A141" s="2" t="str">
        <f t="shared" si="3"/>
        <v>15</v>
      </c>
      <c r="B141" s="2" t="str">
        <f>"Ajudante em Serviços Gerais"</f>
        <v>Ajudante em Serviços Gerais</v>
      </c>
      <c r="C141" s="2" t="str">
        <f>"Infraestrutura - Conservatório"</f>
        <v>Infraestrutura - Conservatório</v>
      </c>
      <c r="D141" s="3">
        <v>387</v>
      </c>
      <c r="E141" s="2" t="str">
        <f>"DEBORA DONIZETI CHAVES"</f>
        <v>DEBORA DONIZETI CHAVES</v>
      </c>
    </row>
    <row r="142" spans="1:5" hidden="1" x14ac:dyDescent="0.2">
      <c r="A142" s="2" t="str">
        <f t="shared" si="3"/>
        <v>15</v>
      </c>
      <c r="B142" s="2" t="str">
        <f>"Assistente Adm Pessoal"</f>
        <v>Assistente Adm Pessoal</v>
      </c>
      <c r="C142" s="2" t="str">
        <f>"Adm - RH"</f>
        <v>Adm - RH</v>
      </c>
      <c r="D142" s="3">
        <v>35103</v>
      </c>
      <c r="E142" s="2" t="str">
        <f>"DEBORA DOS SANTOS TEIXEIRA PACHECO"</f>
        <v>DEBORA DOS SANTOS TEIXEIRA PACHECO</v>
      </c>
    </row>
    <row r="143" spans="1:5" hidden="1" x14ac:dyDescent="0.2">
      <c r="A143" s="2" t="str">
        <f t="shared" si="3"/>
        <v>15</v>
      </c>
      <c r="B143" s="2" t="str">
        <f>"Professor(a) de Música"</f>
        <v>Professor(a) de Música</v>
      </c>
      <c r="C143" s="2" t="str">
        <f>"Unidade 2"</f>
        <v>Unidade 2</v>
      </c>
      <c r="D143" s="3">
        <v>597</v>
      </c>
      <c r="E143" s="2" t="str">
        <f>"DEBORA RIBEIRO"</f>
        <v>DEBORA RIBEIRO</v>
      </c>
    </row>
    <row r="144" spans="1:5" hidden="1" x14ac:dyDescent="0.2">
      <c r="A144" s="2" t="str">
        <f t="shared" ref="A144:A207" si="6">"15"</f>
        <v>15</v>
      </c>
      <c r="B144" s="2" t="str">
        <f>"Professor(a) de Música"</f>
        <v>Professor(a) de Música</v>
      </c>
      <c r="C144" s="2" t="str">
        <f>"Conservatorio"</f>
        <v>Conservatorio</v>
      </c>
      <c r="D144" s="3">
        <v>527</v>
      </c>
      <c r="E144" s="2" t="str">
        <f>"DEBORAH MELISSA DOS SANTOS KERBER"</f>
        <v>DEBORAH MELISSA DOS SANTOS KERBER</v>
      </c>
    </row>
    <row r="145" spans="1:5" hidden="1" x14ac:dyDescent="0.2">
      <c r="A145" s="2" t="str">
        <f t="shared" si="6"/>
        <v>15</v>
      </c>
      <c r="B145" s="2" t="str">
        <f>"Assistente TI"</f>
        <v>Assistente TI</v>
      </c>
      <c r="C145" s="2" t="str">
        <f>"Adm - Financeiro"</f>
        <v>Adm - Financeiro</v>
      </c>
      <c r="D145" s="3">
        <v>34983</v>
      </c>
      <c r="E145" s="2" t="str">
        <f>"DEIVIS WESLEY FURTADO"</f>
        <v>DEIVIS WESLEY FURTADO</v>
      </c>
    </row>
    <row r="146" spans="1:5" hidden="1" x14ac:dyDescent="0.2">
      <c r="A146" s="2" t="str">
        <f t="shared" si="6"/>
        <v>15</v>
      </c>
      <c r="B146" s="2" t="str">
        <f>"Auxiliar de Manutenção Geral"</f>
        <v>Auxiliar de Manutenção Geral</v>
      </c>
      <c r="C146" s="2" t="str">
        <f>"Infraestrutura - Conservatório"</f>
        <v>Infraestrutura - Conservatório</v>
      </c>
      <c r="D146" s="3">
        <v>35078</v>
      </c>
      <c r="E146" s="2" t="str">
        <f>"DICLEI GONÇALVES"</f>
        <v>DICLEI GONÇALVES</v>
      </c>
    </row>
    <row r="147" spans="1:5" hidden="1" x14ac:dyDescent="0.2">
      <c r="A147" s="2" t="str">
        <f t="shared" si="6"/>
        <v>15</v>
      </c>
      <c r="B147" s="2" t="str">
        <f>"Inspetor(a) Escolar"</f>
        <v>Inspetor(a) Escolar</v>
      </c>
      <c r="C147" s="2" t="str">
        <f>"Secretaria - Conservatorio"</f>
        <v>Secretaria - Conservatorio</v>
      </c>
      <c r="D147" s="3">
        <v>35102</v>
      </c>
      <c r="E147" s="2" t="str">
        <f>"DIEGO ALVES DE FIGUEIREDO"</f>
        <v>DIEGO ALVES DE FIGUEIREDO</v>
      </c>
    </row>
    <row r="148" spans="1:5" hidden="1" x14ac:dyDescent="0.2">
      <c r="A148" s="2" t="str">
        <f t="shared" si="6"/>
        <v>15</v>
      </c>
      <c r="B148" s="2" t="str">
        <f>"Professor(a) de Música"</f>
        <v>Professor(a) de Música</v>
      </c>
      <c r="C148" s="2" t="str">
        <f>"Conservatorio"</f>
        <v>Conservatorio</v>
      </c>
      <c r="D148" s="3">
        <v>687</v>
      </c>
      <c r="E148" s="2" t="str">
        <f>"DIEGO BARBOSA GARBIN"</f>
        <v>DIEGO BARBOSA GARBIN</v>
      </c>
    </row>
    <row r="149" spans="1:5" hidden="1" x14ac:dyDescent="0.2">
      <c r="A149" s="2" t="str">
        <f t="shared" si="6"/>
        <v>15</v>
      </c>
      <c r="B149" s="2" t="str">
        <f>"Professor(a) de Música"</f>
        <v>Professor(a) de Música</v>
      </c>
      <c r="C149" s="2" t="str">
        <f>"Polo Sao Jose do Rio Pardo"</f>
        <v>Polo Sao Jose do Rio Pardo</v>
      </c>
      <c r="D149" s="3">
        <v>34945</v>
      </c>
      <c r="E149" s="2" t="str">
        <f>"DIEGO SALVETTI"</f>
        <v>DIEGO SALVETTI</v>
      </c>
    </row>
    <row r="150" spans="1:5" hidden="1" x14ac:dyDescent="0.2">
      <c r="A150" s="2" t="str">
        <f t="shared" si="6"/>
        <v>15</v>
      </c>
      <c r="B150" s="2" t="str">
        <f>"Ajudante em Serviços Gerais"</f>
        <v>Ajudante em Serviços Gerais</v>
      </c>
      <c r="C150" s="2" t="str">
        <f>"Infraestrutura - Conservatório"</f>
        <v>Infraestrutura - Conservatório</v>
      </c>
      <c r="D150" s="3">
        <v>388</v>
      </c>
      <c r="E150" s="2" t="str">
        <f>"DIVA SARUBO BUENO DE PAULA"</f>
        <v>DIVA SARUBO BUENO DE PAULA</v>
      </c>
    </row>
    <row r="151" spans="1:5" hidden="1" x14ac:dyDescent="0.2">
      <c r="A151" s="2" t="str">
        <f t="shared" si="6"/>
        <v>15</v>
      </c>
      <c r="B151" s="2" t="str">
        <f>"Professor(a) de Música"</f>
        <v>Professor(a) de Música</v>
      </c>
      <c r="C151" s="2" t="str">
        <f>"Unidade 2"</f>
        <v>Unidade 2</v>
      </c>
      <c r="D151" s="3">
        <v>657</v>
      </c>
      <c r="E151" s="2" t="str">
        <f>"DONIZETE FACONI"</f>
        <v>DONIZETE FACONI</v>
      </c>
    </row>
    <row r="152" spans="1:5" hidden="1" x14ac:dyDescent="0.2">
      <c r="A152" s="2" t="str">
        <f t="shared" si="6"/>
        <v>15</v>
      </c>
      <c r="B152" s="2" t="str">
        <f>"Motorista I"</f>
        <v>Motorista I</v>
      </c>
      <c r="C152" s="2" t="str">
        <f>"Secretaria Executiva"</f>
        <v>Secretaria Executiva</v>
      </c>
      <c r="D152" s="3">
        <v>370</v>
      </c>
      <c r="E152" s="2" t="str">
        <f>"DURVALINO LONGANEZZI"</f>
        <v>DURVALINO LONGANEZZI</v>
      </c>
    </row>
    <row r="153" spans="1:5" hidden="1" x14ac:dyDescent="0.2">
      <c r="A153" s="2" t="str">
        <f t="shared" si="6"/>
        <v>15</v>
      </c>
      <c r="B153" s="2" t="str">
        <f>"Professor(a) de Música"</f>
        <v>Professor(a) de Música</v>
      </c>
      <c r="C153" s="2" t="str">
        <f>"Teatro"</f>
        <v>Teatro</v>
      </c>
      <c r="D153" s="3">
        <v>469</v>
      </c>
      <c r="E153" s="2" t="str">
        <f>"EDEVANDRO BERNABE"</f>
        <v>EDEVANDRO BERNABE</v>
      </c>
    </row>
    <row r="154" spans="1:5" hidden="1" x14ac:dyDescent="0.2">
      <c r="A154" s="2" t="str">
        <f t="shared" si="6"/>
        <v>15</v>
      </c>
      <c r="B154" s="2" t="str">
        <f>"Professor(a) de Música"</f>
        <v>Professor(a) de Música</v>
      </c>
      <c r="C154" s="2" t="str">
        <f>"Conservatorio"</f>
        <v>Conservatorio</v>
      </c>
      <c r="D154" s="3">
        <v>530</v>
      </c>
      <c r="E154" s="2" t="str">
        <f>"EDMILSON BAIA DE OLIVEIRA"</f>
        <v>EDMILSON BAIA DE OLIVEIRA</v>
      </c>
    </row>
    <row r="155" spans="1:5" hidden="1" x14ac:dyDescent="0.2">
      <c r="A155" s="2" t="str">
        <f t="shared" si="6"/>
        <v>15</v>
      </c>
      <c r="B155" s="2" t="str">
        <f>"Professor(a) de Música"</f>
        <v>Professor(a) de Música</v>
      </c>
      <c r="C155" s="2" t="str">
        <f>"Unidade 2"</f>
        <v>Unidade 2</v>
      </c>
      <c r="D155" s="3">
        <v>634</v>
      </c>
      <c r="E155" s="2" t="str">
        <f>"EDMO PERANDIN GUIMARAES"</f>
        <v>EDMO PERANDIN GUIMARAES</v>
      </c>
    </row>
    <row r="156" spans="1:5" hidden="1" x14ac:dyDescent="0.2">
      <c r="A156" s="2" t="str">
        <f t="shared" si="6"/>
        <v>15</v>
      </c>
      <c r="B156" s="2" t="str">
        <f>"Professor(a) de Música"</f>
        <v>Professor(a) de Música</v>
      </c>
      <c r="C156" s="2" t="str">
        <f>"Unidade 2"</f>
        <v>Unidade 2</v>
      </c>
      <c r="D156" s="3">
        <v>630</v>
      </c>
      <c r="E156" s="2" t="str">
        <f>"EDSON LOPES"</f>
        <v>EDSON LOPES</v>
      </c>
    </row>
    <row r="157" spans="1:5" hidden="1" x14ac:dyDescent="0.2">
      <c r="A157" s="2" t="str">
        <f t="shared" si="6"/>
        <v>15</v>
      </c>
      <c r="B157" s="2" t="str">
        <f>"Produtor de Eventos SR"</f>
        <v>Produtor de Eventos SR</v>
      </c>
      <c r="C157" s="2" t="str">
        <f>"Produção e Eventos"</f>
        <v>Produção e Eventos</v>
      </c>
      <c r="D157" s="3">
        <v>34966</v>
      </c>
      <c r="E157" s="2" t="str">
        <f>"EDUARDO CRUZ LEAL"</f>
        <v>EDUARDO CRUZ LEAL</v>
      </c>
    </row>
    <row r="158" spans="1:5" hidden="1" x14ac:dyDescent="0.2">
      <c r="A158" s="2" t="str">
        <f t="shared" si="6"/>
        <v>15</v>
      </c>
      <c r="B158" s="2" t="str">
        <f>"Professor(a) de Música"</f>
        <v>Professor(a) de Música</v>
      </c>
      <c r="C158" s="2" t="str">
        <f>"Conservatorio"</f>
        <v>Conservatorio</v>
      </c>
      <c r="D158" s="3">
        <v>557</v>
      </c>
      <c r="E158" s="2" t="str">
        <f>"EDUARDO MAURICIO GOBI"</f>
        <v>EDUARDO MAURICIO GOBI</v>
      </c>
    </row>
    <row r="159" spans="1:5" hidden="1" x14ac:dyDescent="0.2">
      <c r="A159" s="2" t="str">
        <f t="shared" si="6"/>
        <v>15</v>
      </c>
      <c r="B159" s="2" t="str">
        <f>"Professor(a) de Música"</f>
        <v>Professor(a) de Música</v>
      </c>
      <c r="C159" s="2" t="str">
        <f>"Unidade 2"</f>
        <v>Unidade 2</v>
      </c>
      <c r="D159" s="3">
        <v>654</v>
      </c>
      <c r="E159" s="2" t="str">
        <f>"ELAINE GRAZIELA PAGOTTO OLIVEIRA"</f>
        <v>ELAINE GRAZIELA PAGOTTO OLIVEIRA</v>
      </c>
    </row>
    <row r="160" spans="1:5" hidden="1" x14ac:dyDescent="0.2">
      <c r="A160" s="2" t="str">
        <f t="shared" si="6"/>
        <v>15</v>
      </c>
      <c r="B160" s="2" t="str">
        <f>"Professor(a) de Música"</f>
        <v>Professor(a) de Música</v>
      </c>
      <c r="C160" s="2" t="str">
        <f>"Unidade 2"</f>
        <v>Unidade 2</v>
      </c>
      <c r="D160" s="3">
        <v>658</v>
      </c>
      <c r="E160" s="2" t="str">
        <f>"ELEN RAMOS PIRES"</f>
        <v>ELEN RAMOS PIRES</v>
      </c>
    </row>
    <row r="161" spans="1:5" hidden="1" x14ac:dyDescent="0.2">
      <c r="A161" s="2" t="str">
        <f t="shared" si="6"/>
        <v>15</v>
      </c>
      <c r="B161" s="2" t="str">
        <f>"Professor(a) de Música"</f>
        <v>Professor(a) de Música</v>
      </c>
      <c r="C161" s="2" t="str">
        <f>"Conservatorio"</f>
        <v>Conservatorio</v>
      </c>
      <c r="D161" s="3">
        <v>504</v>
      </c>
      <c r="E161" s="2" t="str">
        <f>"ELIANA CRISTINA DE CASTRO MATTOS WAGNER"</f>
        <v>ELIANA CRISTINA DE CASTRO MATTOS WAGNER</v>
      </c>
    </row>
    <row r="162" spans="1:5" hidden="1" x14ac:dyDescent="0.2">
      <c r="A162" s="2" t="str">
        <f t="shared" si="6"/>
        <v>15</v>
      </c>
      <c r="B162" s="2" t="str">
        <f>"Professor(a) de Música"</f>
        <v>Professor(a) de Música</v>
      </c>
      <c r="C162" s="2" t="str">
        <f>"Unidade 2"</f>
        <v>Unidade 2</v>
      </c>
      <c r="D162" s="3">
        <v>476</v>
      </c>
      <c r="E162" s="2" t="str">
        <f>"ELIDAMARIS CORTEZ"</f>
        <v>ELIDAMARIS CORTEZ</v>
      </c>
    </row>
    <row r="163" spans="1:5" hidden="1" x14ac:dyDescent="0.2">
      <c r="A163" s="2" t="str">
        <f t="shared" si="6"/>
        <v>15</v>
      </c>
      <c r="B163" s="2" t="str">
        <f>"Arquivista Musical"</f>
        <v>Arquivista Musical</v>
      </c>
      <c r="C163" s="2" t="str">
        <f>"Secretaria - Conservatorio"</f>
        <v>Secretaria - Conservatorio</v>
      </c>
      <c r="D163" s="3">
        <v>679</v>
      </c>
      <c r="E163" s="2" t="str">
        <f>"ELINE RAMOS"</f>
        <v>ELINE RAMOS</v>
      </c>
    </row>
    <row r="164" spans="1:5" hidden="1" x14ac:dyDescent="0.2">
      <c r="A164" s="2" t="str">
        <f t="shared" si="6"/>
        <v>15</v>
      </c>
      <c r="B164" s="2" t="str">
        <f>"Professor(a) de Música"</f>
        <v>Professor(a) de Música</v>
      </c>
      <c r="C164" s="2" t="str">
        <f>"Teatro"</f>
        <v>Teatro</v>
      </c>
      <c r="D164" s="3">
        <v>470</v>
      </c>
      <c r="E164" s="2" t="str">
        <f>"ELISEU SILVA NASCIMENTO"</f>
        <v>ELISEU SILVA NASCIMENTO</v>
      </c>
    </row>
    <row r="165" spans="1:5" hidden="1" x14ac:dyDescent="0.2">
      <c r="A165" s="2" t="str">
        <f t="shared" si="6"/>
        <v>15</v>
      </c>
      <c r="B165" s="2" t="str">
        <f>"Porteiro (12x36)"</f>
        <v>Porteiro (12x36)</v>
      </c>
      <c r="C165" s="2" t="str">
        <f>"Infraestrutura - Conservatório"</f>
        <v>Infraestrutura - Conservatório</v>
      </c>
      <c r="D165" s="3">
        <v>34939</v>
      </c>
      <c r="E165" s="2" t="str">
        <f>"EMERSON SOARES OLIVEIRA"</f>
        <v>EMERSON SOARES OLIVEIRA</v>
      </c>
    </row>
    <row r="166" spans="1:5" hidden="1" x14ac:dyDescent="0.2">
      <c r="A166" s="2" t="str">
        <f t="shared" si="6"/>
        <v>15</v>
      </c>
      <c r="B166" s="2" t="str">
        <f>"Assistente de Secretaria II"</f>
        <v>Assistente de Secretaria II</v>
      </c>
      <c r="C166" s="2" t="str">
        <f>"Secretaria - Conservatorio"</f>
        <v>Secretaria - Conservatorio</v>
      </c>
      <c r="D166" s="3">
        <v>489</v>
      </c>
      <c r="E166" s="2" t="str">
        <f>"ENI LEMOS DA CONCEICAO"</f>
        <v>ENI LEMOS DA CONCEICAO</v>
      </c>
    </row>
    <row r="167" spans="1:5" hidden="1" x14ac:dyDescent="0.2">
      <c r="A167" s="2" t="str">
        <f t="shared" si="6"/>
        <v>15</v>
      </c>
      <c r="B167" s="2" t="str">
        <f>"Professor(a) de Música"</f>
        <v>Professor(a) de Música</v>
      </c>
      <c r="C167" s="2" t="str">
        <f>"Conservatorio"</f>
        <v>Conservatorio</v>
      </c>
      <c r="D167" s="3">
        <v>558</v>
      </c>
      <c r="E167" s="2" t="str">
        <f>"ERICA MASSON"</f>
        <v>ERICA MASSON</v>
      </c>
    </row>
    <row r="168" spans="1:5" hidden="1" x14ac:dyDescent="0.2">
      <c r="A168" s="2" t="str">
        <f t="shared" si="6"/>
        <v>15</v>
      </c>
      <c r="B168" s="2" t="str">
        <f>"Professor(a) de Artes Cênicas"</f>
        <v>Professor(a) de Artes Cênicas</v>
      </c>
      <c r="C168" s="2" t="str">
        <f>"Artes Cenicas"</f>
        <v>Artes Cenicas</v>
      </c>
      <c r="D168" s="3">
        <v>494</v>
      </c>
      <c r="E168" s="2" t="str">
        <f>"ERICA PEDRO CORREA ANDRADE"</f>
        <v>ERICA PEDRO CORREA ANDRADE</v>
      </c>
    </row>
    <row r="169" spans="1:5" hidden="1" x14ac:dyDescent="0.2">
      <c r="A169" s="2" t="str">
        <f t="shared" si="6"/>
        <v>15</v>
      </c>
      <c r="B169" s="2" t="str">
        <f>"Porteiro (12x36)"</f>
        <v>Porteiro (12x36)</v>
      </c>
      <c r="C169" s="2" t="str">
        <f>"Portaria"</f>
        <v>Portaria</v>
      </c>
      <c r="D169" s="3">
        <v>383</v>
      </c>
      <c r="E169" s="2" t="str">
        <f>"ERNANDES ROGERIO DOS SANTOS"</f>
        <v>ERNANDES ROGERIO DOS SANTOS</v>
      </c>
    </row>
    <row r="170" spans="1:5" hidden="1" x14ac:dyDescent="0.2">
      <c r="A170" s="2" t="str">
        <f t="shared" si="6"/>
        <v>15</v>
      </c>
      <c r="B170" s="2" t="str">
        <f>"Auxiliar de Manutenção Geral"</f>
        <v>Auxiliar de Manutenção Geral</v>
      </c>
      <c r="C170" s="2" t="str">
        <f>"Infraestrutura - Conservatório"</f>
        <v>Infraestrutura - Conservatório</v>
      </c>
      <c r="D170" s="3">
        <v>34915</v>
      </c>
      <c r="E170" s="2" t="str">
        <f>"ESDRAS DA SILVA TELLES"</f>
        <v>ESDRAS DA SILVA TELLES</v>
      </c>
    </row>
    <row r="171" spans="1:5" hidden="1" x14ac:dyDescent="0.2">
      <c r="A171" s="2" t="str">
        <f t="shared" si="6"/>
        <v>15</v>
      </c>
      <c r="B171" s="2" t="str">
        <f>"Professor(a) de Música"</f>
        <v>Professor(a) de Música</v>
      </c>
      <c r="C171" s="2" t="str">
        <f>"Unidade 2"</f>
        <v>Unidade 2</v>
      </c>
      <c r="D171" s="3">
        <v>638</v>
      </c>
      <c r="E171" s="2" t="str">
        <f>"ESTER FREIRE"</f>
        <v>ESTER FREIRE</v>
      </c>
    </row>
    <row r="172" spans="1:5" hidden="1" x14ac:dyDescent="0.2">
      <c r="A172" s="2" t="str">
        <f t="shared" si="6"/>
        <v>15</v>
      </c>
      <c r="B172" s="2" t="str">
        <f>"Ajudante em Serviços Gerais"</f>
        <v>Ajudante em Serviços Gerais</v>
      </c>
      <c r="C172" s="2" t="str">
        <f>"Infraestrutura - Conservatório"</f>
        <v>Infraestrutura - Conservatório</v>
      </c>
      <c r="D172" s="3">
        <v>394</v>
      </c>
      <c r="E172" s="2" t="str">
        <f>"EVELIN GISELDA VIEIRA VAZ"</f>
        <v>EVELIN GISELDA VIEIRA VAZ</v>
      </c>
    </row>
    <row r="173" spans="1:5" hidden="1" x14ac:dyDescent="0.2">
      <c r="A173" s="2" t="str">
        <f t="shared" si="6"/>
        <v>15</v>
      </c>
      <c r="B173" s="2" t="str">
        <f>"Professor(a) de Música"</f>
        <v>Professor(a) de Música</v>
      </c>
      <c r="C173" s="2" t="str">
        <f>"Teatro"</f>
        <v>Teatro</v>
      </c>
      <c r="D173" s="3">
        <v>479</v>
      </c>
      <c r="E173" s="2" t="str">
        <f>"EVERTON RODRIGUES DA SILVA"</f>
        <v>EVERTON RODRIGUES DA SILVA</v>
      </c>
    </row>
    <row r="174" spans="1:5" hidden="1" x14ac:dyDescent="0.2">
      <c r="A174" s="2" t="str">
        <f t="shared" si="6"/>
        <v>15</v>
      </c>
      <c r="B174" s="2" t="str">
        <f>"Professor(a) de Música"</f>
        <v>Professor(a) de Música</v>
      </c>
      <c r="C174" s="2" t="str">
        <f>"Conservatorio"</f>
        <v>Conservatorio</v>
      </c>
      <c r="D174" s="3">
        <v>573</v>
      </c>
      <c r="E174" s="2" t="str">
        <f>"FABIO ANTONIO XAVIER DA SILVA"</f>
        <v>FABIO ANTONIO XAVIER DA SILVA</v>
      </c>
    </row>
    <row r="175" spans="1:5" hidden="1" x14ac:dyDescent="0.2">
      <c r="A175" s="2" t="str">
        <f t="shared" si="6"/>
        <v>15</v>
      </c>
      <c r="B175" s="2" t="str">
        <f>"Professor(a) de Música"</f>
        <v>Professor(a) de Música</v>
      </c>
      <c r="C175" s="2" t="str">
        <f>"Conservatorio"</f>
        <v>Conservatorio</v>
      </c>
      <c r="D175" s="3">
        <v>528</v>
      </c>
      <c r="E175" s="2" t="str">
        <f>"FANNY DE SOUZA LIMA"</f>
        <v>FANNY DE SOUZA LIMA</v>
      </c>
    </row>
    <row r="176" spans="1:5" hidden="1" x14ac:dyDescent="0.2">
      <c r="A176" s="2" t="str">
        <f t="shared" si="6"/>
        <v>15</v>
      </c>
      <c r="B176" s="2" t="str">
        <f>"Professor(a) de Música"</f>
        <v>Professor(a) de Música</v>
      </c>
      <c r="C176" s="2" t="str">
        <f>"Conservatorio"</f>
        <v>Conservatorio</v>
      </c>
      <c r="D176" s="3">
        <v>576</v>
      </c>
      <c r="E176" s="2" t="str">
        <f>"FELIPE DE CAMPOS BRISOLA"</f>
        <v>FELIPE DE CAMPOS BRISOLA</v>
      </c>
    </row>
    <row r="177" spans="1:5" hidden="1" x14ac:dyDescent="0.2">
      <c r="A177" s="2" t="str">
        <f t="shared" si="6"/>
        <v>15</v>
      </c>
      <c r="B177" s="2" t="str">
        <f>"Professor(a) de Artes Cênicas"</f>
        <v>Professor(a) de Artes Cênicas</v>
      </c>
      <c r="C177" s="2" t="str">
        <f>"Artes Cenicas"</f>
        <v>Artes Cenicas</v>
      </c>
      <c r="D177" s="3">
        <v>500</v>
      </c>
      <c r="E177" s="2" t="str">
        <f>"FERNANDA MENDES VIEIRA FERNANDES"</f>
        <v>FERNANDA MENDES VIEIRA FERNANDES</v>
      </c>
    </row>
    <row r="178" spans="1:5" hidden="1" x14ac:dyDescent="0.2">
      <c r="A178" s="2" t="str">
        <f t="shared" si="6"/>
        <v>15</v>
      </c>
      <c r="B178" s="2" t="str">
        <f>"Professor(a) de Música"</f>
        <v>Professor(a) de Música</v>
      </c>
      <c r="C178" s="2" t="str">
        <f>"Unidade 2"</f>
        <v>Unidade 2</v>
      </c>
      <c r="D178" s="3">
        <v>691</v>
      </c>
      <c r="E178" s="2" t="str">
        <f>"FERNANDO HENRIQUE DE ALMEIDA ANDRADE"</f>
        <v>FERNANDO HENRIQUE DE ALMEIDA ANDRADE</v>
      </c>
    </row>
    <row r="179" spans="1:5" hidden="1" x14ac:dyDescent="0.2">
      <c r="A179" s="2" t="str">
        <f t="shared" si="6"/>
        <v>15</v>
      </c>
      <c r="B179" s="2" t="str">
        <f>"Inspetor(a) Escolar"</f>
        <v>Inspetor(a) Escolar</v>
      </c>
      <c r="C179" s="2" t="str">
        <f>"Secretaria - Conservatorio"</f>
        <v>Secretaria - Conservatorio</v>
      </c>
      <c r="D179" s="3">
        <v>669</v>
      </c>
      <c r="E179" s="2" t="str">
        <f>"FLAVIA APARECIDA SILVA"</f>
        <v>FLAVIA APARECIDA SILVA</v>
      </c>
    </row>
    <row r="180" spans="1:5" hidden="1" x14ac:dyDescent="0.2">
      <c r="A180" s="2" t="str">
        <f t="shared" si="6"/>
        <v>15</v>
      </c>
      <c r="B180" s="2" t="str">
        <f>"Inspetor(a) Escolar"</f>
        <v>Inspetor(a) Escolar</v>
      </c>
      <c r="C180" s="2" t="str">
        <f>"Secretaria - Conservatorio"</f>
        <v>Secretaria - Conservatorio</v>
      </c>
      <c r="D180" s="3">
        <v>35109</v>
      </c>
      <c r="E180" s="2" t="str">
        <f>"FLAVIA CRISTINA VIEIRA ANTONIO"</f>
        <v>FLAVIA CRISTINA VIEIRA ANTONIO</v>
      </c>
    </row>
    <row r="181" spans="1:5" hidden="1" x14ac:dyDescent="0.2">
      <c r="A181" s="2" t="str">
        <f t="shared" si="6"/>
        <v>15</v>
      </c>
      <c r="B181" s="2" t="str">
        <f>"Inspetor(a) Grupos artisticos"</f>
        <v>Inspetor(a) Grupos artisticos</v>
      </c>
      <c r="C181" s="2" t="str">
        <f>"Produção e Eventos"</f>
        <v>Produção e Eventos</v>
      </c>
      <c r="D181" s="3">
        <v>35081</v>
      </c>
      <c r="E181" s="2" t="str">
        <f>"FRANCISCO ALVES DOS SANTOS JUNIOR"</f>
        <v>FRANCISCO ALVES DOS SANTOS JUNIOR</v>
      </c>
    </row>
    <row r="182" spans="1:5" hidden="1" x14ac:dyDescent="0.2">
      <c r="A182" s="2" t="str">
        <f t="shared" si="6"/>
        <v>15</v>
      </c>
      <c r="B182" s="2" t="str">
        <f>"Professor(a) de Música"</f>
        <v>Professor(a) de Música</v>
      </c>
      <c r="C182" s="2" t="str">
        <f>"Unidade 2"</f>
        <v>Unidade 2</v>
      </c>
      <c r="D182" s="3">
        <v>620</v>
      </c>
      <c r="E182" s="2" t="str">
        <f>"FULVIO FERRARI"</f>
        <v>FULVIO FERRARI</v>
      </c>
    </row>
    <row r="183" spans="1:5" hidden="1" x14ac:dyDescent="0.2">
      <c r="A183" s="2" t="str">
        <f t="shared" si="6"/>
        <v>15</v>
      </c>
      <c r="B183" s="2" t="str">
        <f>"Professor(a) de Música"</f>
        <v>Professor(a) de Música</v>
      </c>
      <c r="C183" s="2" t="str">
        <f>"Polo Sao Jose do Rio Pardo"</f>
        <v>Polo Sao Jose do Rio Pardo</v>
      </c>
      <c r="D183" s="3">
        <v>592</v>
      </c>
      <c r="E183" s="2" t="str">
        <f>"GENESES DA SILVA OLIVEIRA"</f>
        <v>GENESES DA SILVA OLIVEIRA</v>
      </c>
    </row>
    <row r="184" spans="1:5" hidden="1" x14ac:dyDescent="0.2">
      <c r="A184" s="2" t="str">
        <f t="shared" si="6"/>
        <v>15</v>
      </c>
      <c r="B184" s="2" t="str">
        <f>"Professor(a) de Música"</f>
        <v>Professor(a) de Música</v>
      </c>
      <c r="C184" s="2" t="str">
        <f>"Conservatorio"</f>
        <v>Conservatorio</v>
      </c>
      <c r="D184" s="3">
        <v>534</v>
      </c>
      <c r="E184" s="2" t="str">
        <f>"GERSON BRANDINO"</f>
        <v>GERSON BRANDINO</v>
      </c>
    </row>
    <row r="185" spans="1:5" hidden="1" x14ac:dyDescent="0.2">
      <c r="A185" s="2" t="str">
        <f t="shared" si="6"/>
        <v>15</v>
      </c>
      <c r="B185" s="2" t="str">
        <f>"Professor(a) de Música"</f>
        <v>Professor(a) de Música</v>
      </c>
      <c r="C185" s="2" t="str">
        <f>"Conservatorio"</f>
        <v>Conservatorio</v>
      </c>
      <c r="D185" s="3">
        <v>548</v>
      </c>
      <c r="E185" s="2" t="str">
        <f>"GIANCARLO SANTOS DE MEDEIROS"</f>
        <v>GIANCARLO SANTOS DE MEDEIROS</v>
      </c>
    </row>
    <row r="186" spans="1:5" hidden="1" x14ac:dyDescent="0.2">
      <c r="A186" s="2" t="str">
        <f t="shared" si="6"/>
        <v>15</v>
      </c>
      <c r="B186" s="2" t="str">
        <f>"Gerente Geral"</f>
        <v>Gerente Geral</v>
      </c>
      <c r="C186" s="2" t="str">
        <f>"Gerencia Geral"</f>
        <v>Gerencia Geral</v>
      </c>
      <c r="D186" s="3">
        <v>30277</v>
      </c>
      <c r="E186" s="2" t="str">
        <f>"GILDEMAR DE JESUS OLIVEIRA"</f>
        <v>GILDEMAR DE JESUS OLIVEIRA</v>
      </c>
    </row>
    <row r="187" spans="1:5" hidden="1" x14ac:dyDescent="0.2">
      <c r="A187" s="2" t="str">
        <f t="shared" si="6"/>
        <v>15</v>
      </c>
      <c r="B187" s="2" t="str">
        <f>"Auxiliar Administrativo"</f>
        <v>Auxiliar Administrativo</v>
      </c>
      <c r="C187" s="2" t="str">
        <f>"Gerencia Geral"</f>
        <v>Gerencia Geral</v>
      </c>
      <c r="D187" s="3">
        <v>34969</v>
      </c>
      <c r="E187" s="2" t="str">
        <f>"GIOVANNA GIULLIA LOPES SILVA"</f>
        <v>GIOVANNA GIULLIA LOPES SILVA</v>
      </c>
    </row>
    <row r="188" spans="1:5" hidden="1" x14ac:dyDescent="0.2">
      <c r="A188" s="2" t="str">
        <f t="shared" si="6"/>
        <v>15</v>
      </c>
      <c r="B188" s="2" t="str">
        <f>"Produtor de Eventos JR"</f>
        <v>Produtor de Eventos JR</v>
      </c>
      <c r="C188" s="2" t="str">
        <f>"Produção e Eventos"</f>
        <v>Produção e Eventos</v>
      </c>
      <c r="D188" s="3">
        <v>35029</v>
      </c>
      <c r="E188" s="2" t="str">
        <f>"GISELE DE FATIMA CAMARGO"</f>
        <v>GISELE DE FATIMA CAMARGO</v>
      </c>
    </row>
    <row r="189" spans="1:5" hidden="1" x14ac:dyDescent="0.2">
      <c r="A189" s="2" t="str">
        <f t="shared" si="6"/>
        <v>15</v>
      </c>
      <c r="B189" s="2" t="str">
        <f>"Ajudante em Serviços Gerais"</f>
        <v>Ajudante em Serviços Gerais</v>
      </c>
      <c r="C189" s="2" t="str">
        <f>"Infraestrutura - Conservatório"</f>
        <v>Infraestrutura - Conservatório</v>
      </c>
      <c r="D189" s="3">
        <v>35128</v>
      </c>
      <c r="E189" s="2" t="str">
        <f>"GISLENE SANTOS DO CARMO"</f>
        <v>GISLENE SANTOS DO CARMO</v>
      </c>
    </row>
    <row r="190" spans="1:5" hidden="1" x14ac:dyDescent="0.2">
      <c r="A190" s="2" t="str">
        <f t="shared" si="6"/>
        <v>15</v>
      </c>
      <c r="B190" s="2" t="str">
        <f>"Montador"</f>
        <v>Montador</v>
      </c>
      <c r="C190" s="2" t="str">
        <f>"Produção e Eventos"</f>
        <v>Produção e Eventos</v>
      </c>
      <c r="D190" s="3">
        <v>401</v>
      </c>
      <c r="E190" s="2" t="str">
        <f>"GUILHERME DE MIRANDA RIBEIRO"</f>
        <v>GUILHERME DE MIRANDA RIBEIRO</v>
      </c>
    </row>
    <row r="191" spans="1:5" hidden="1" x14ac:dyDescent="0.2">
      <c r="A191" s="2" t="str">
        <f t="shared" si="6"/>
        <v>15</v>
      </c>
      <c r="B191" s="2" t="str">
        <f>"Professor(a) de Música"</f>
        <v>Professor(a) de Música</v>
      </c>
      <c r="C191" s="2" t="str">
        <f>"Conservatorio"</f>
        <v>Conservatorio</v>
      </c>
      <c r="D191" s="3">
        <v>35111</v>
      </c>
      <c r="E191" s="2" t="str">
        <f>"GUILHERME SPARRAPAN MUNIZ LOPES"</f>
        <v>GUILHERME SPARRAPAN MUNIZ LOPES</v>
      </c>
    </row>
    <row r="192" spans="1:5" hidden="1" x14ac:dyDescent="0.2">
      <c r="A192" s="2" t="str">
        <f t="shared" si="6"/>
        <v>15</v>
      </c>
      <c r="B192" s="2" t="str">
        <f>"Professor(a) de Música"</f>
        <v>Professor(a) de Música</v>
      </c>
      <c r="C192" s="2" t="str">
        <f>"Conservatorio"</f>
        <v>Conservatorio</v>
      </c>
      <c r="D192" s="3">
        <v>560</v>
      </c>
      <c r="E192" s="2" t="str">
        <f>"HEVERTON LUIZ CORREA DA SILVEIRA"</f>
        <v>HEVERTON LUIZ CORREA DA SILVEIRA</v>
      </c>
    </row>
    <row r="193" spans="1:5" hidden="1" x14ac:dyDescent="0.2">
      <c r="A193" s="2" t="str">
        <f t="shared" si="6"/>
        <v>15</v>
      </c>
      <c r="B193" s="2" t="str">
        <f>"Professor(a) de Música"</f>
        <v>Professor(a) de Música</v>
      </c>
      <c r="C193" s="2" t="str">
        <f>"Unidade 2"</f>
        <v>Unidade 2</v>
      </c>
      <c r="D193" s="3">
        <v>625</v>
      </c>
      <c r="E193" s="2" t="str">
        <f>"HICLEI BOLINA GOBATTI"</f>
        <v>HICLEI BOLINA GOBATTI</v>
      </c>
    </row>
    <row r="194" spans="1:5" hidden="1" x14ac:dyDescent="0.2">
      <c r="A194" s="2" t="str">
        <f t="shared" si="6"/>
        <v>15</v>
      </c>
      <c r="B194" s="2" t="str">
        <f>"Professor(a) de Música"</f>
        <v>Professor(a) de Música</v>
      </c>
      <c r="C194" s="2" t="str">
        <f>"Conservatorio"</f>
        <v>Conservatorio</v>
      </c>
      <c r="D194" s="3">
        <v>567</v>
      </c>
      <c r="E194" s="2" t="str">
        <f>"HUDSON NOGUEIRA DA SILVA"</f>
        <v>HUDSON NOGUEIRA DA SILVA</v>
      </c>
    </row>
    <row r="195" spans="1:5" hidden="1" x14ac:dyDescent="0.2">
      <c r="A195" s="2" t="str">
        <f t="shared" si="6"/>
        <v>15</v>
      </c>
      <c r="B195" s="2" t="str">
        <f>"Auxiliar de Polo"</f>
        <v>Auxiliar de Polo</v>
      </c>
      <c r="C195" s="2" t="str">
        <f>"Polo Sao Jose do Rio Pardo"</f>
        <v>Polo Sao Jose do Rio Pardo</v>
      </c>
      <c r="D195" s="3">
        <v>34992</v>
      </c>
      <c r="E195" s="2" t="str">
        <f>"IGOR SILVA PERRI"</f>
        <v>IGOR SILVA PERRI</v>
      </c>
    </row>
    <row r="196" spans="1:5" hidden="1" x14ac:dyDescent="0.2">
      <c r="A196" s="2" t="str">
        <f t="shared" si="6"/>
        <v>15</v>
      </c>
      <c r="B196" s="2" t="str">
        <f>"Professor(a) de Música"</f>
        <v>Professor(a) de Música</v>
      </c>
      <c r="C196" s="2" t="str">
        <f>"Polo Sao Jose do Rio Pardo"</f>
        <v>Polo Sao Jose do Rio Pardo</v>
      </c>
      <c r="D196" s="3">
        <v>581</v>
      </c>
      <c r="E196" s="2" t="str">
        <f>"IRIS DE CASTRO GOULART"</f>
        <v>IRIS DE CASTRO GOULART</v>
      </c>
    </row>
    <row r="197" spans="1:5" hidden="1" x14ac:dyDescent="0.2">
      <c r="A197" s="2" t="str">
        <f t="shared" si="6"/>
        <v>15</v>
      </c>
      <c r="B197" s="2" t="str">
        <f>"Professor(a) de Música"</f>
        <v>Professor(a) de Música</v>
      </c>
      <c r="C197" s="2" t="str">
        <f>"Musicalização Infantil"</f>
        <v>Musicalização Infantil</v>
      </c>
      <c r="D197" s="3">
        <v>511</v>
      </c>
      <c r="E197" s="2" t="str">
        <f>"ISABEL CRISTINA DE CAMPOS FERREIRA"</f>
        <v>ISABEL CRISTINA DE CAMPOS FERREIRA</v>
      </c>
    </row>
    <row r="198" spans="1:5" hidden="1" x14ac:dyDescent="0.2">
      <c r="A198" s="2" t="str">
        <f t="shared" si="6"/>
        <v>15</v>
      </c>
      <c r="B198" s="2" t="str">
        <f>"Superv. Produção de Eventos"</f>
        <v>Superv. Produção de Eventos</v>
      </c>
      <c r="C198" s="2" t="str">
        <f>"Gerencia Geral"</f>
        <v>Gerencia Geral</v>
      </c>
      <c r="D198" s="3">
        <v>406</v>
      </c>
      <c r="E198" s="2" t="str">
        <f>"ISABEL CRISTINA MEDEIROS AVILA"</f>
        <v>ISABEL CRISTINA MEDEIROS AVILA</v>
      </c>
    </row>
    <row r="199" spans="1:5" hidden="1" x14ac:dyDescent="0.2">
      <c r="A199" s="2" t="str">
        <f t="shared" si="6"/>
        <v>15</v>
      </c>
      <c r="B199" s="2" t="str">
        <f>"Professor(a) de Música"</f>
        <v>Professor(a) de Música</v>
      </c>
      <c r="C199" s="2" t="str">
        <f>"Musicalização Infantil"</f>
        <v>Musicalização Infantil</v>
      </c>
      <c r="D199" s="3">
        <v>35079</v>
      </c>
      <c r="E199" s="2" t="str">
        <f>"ISABELLE MENEGASSE SILVA"</f>
        <v>ISABELLE MENEGASSE SILVA</v>
      </c>
    </row>
    <row r="200" spans="1:5" hidden="1" x14ac:dyDescent="0.2">
      <c r="A200" s="2" t="str">
        <f t="shared" si="6"/>
        <v>15</v>
      </c>
      <c r="B200" s="2" t="str">
        <f>"Professor(a) de Luteria"</f>
        <v>Professor(a) de Luteria</v>
      </c>
      <c r="C200" s="2" t="str">
        <f>"Unidade 2"</f>
        <v>Unidade 2</v>
      </c>
      <c r="D200" s="3">
        <v>502</v>
      </c>
      <c r="E200" s="2" t="str">
        <f>"IZAIAS BATISTA DE OLIVEIRA"</f>
        <v>IZAIAS BATISTA DE OLIVEIRA</v>
      </c>
    </row>
    <row r="201" spans="1:5" hidden="1" x14ac:dyDescent="0.2">
      <c r="A201" s="2" t="str">
        <f t="shared" si="6"/>
        <v>15</v>
      </c>
      <c r="B201" s="2" t="str">
        <f>"Analista de Contratos JR"</f>
        <v>Analista de Contratos JR</v>
      </c>
      <c r="C201" s="2" t="str">
        <f>"Adm - Jurídico"</f>
        <v>Adm - Jurídico</v>
      </c>
      <c r="D201" s="3">
        <v>35090</v>
      </c>
      <c r="E201" s="2" t="str">
        <f>"JACIRA FERREIRA BRANCO"</f>
        <v>JACIRA FERREIRA BRANCO</v>
      </c>
    </row>
    <row r="202" spans="1:5" hidden="1" x14ac:dyDescent="0.2">
      <c r="A202" s="2" t="str">
        <f t="shared" si="6"/>
        <v>15</v>
      </c>
      <c r="B202" s="2" t="str">
        <f>"Superv. de Manutenção Geral"</f>
        <v>Superv. de Manutenção Geral</v>
      </c>
      <c r="C202" s="2" t="str">
        <f>"Infraestrutura - Conservatório"</f>
        <v>Infraestrutura - Conservatório</v>
      </c>
      <c r="D202" s="3">
        <v>368</v>
      </c>
      <c r="E202" s="2" t="str">
        <f>"JAILTON PEREIRA DA CRUZ"</f>
        <v>JAILTON PEREIRA DA CRUZ</v>
      </c>
    </row>
    <row r="203" spans="1:5" hidden="1" x14ac:dyDescent="0.2">
      <c r="A203" s="2" t="str">
        <f t="shared" si="6"/>
        <v>15</v>
      </c>
      <c r="B203" s="2" t="str">
        <f>"Cenógrafo"</f>
        <v>Cenógrafo</v>
      </c>
      <c r="C203" s="2" t="str">
        <f>"Artes Cenicas"</f>
        <v>Artes Cenicas</v>
      </c>
      <c r="D203" s="3">
        <v>411</v>
      </c>
      <c r="E203" s="2" t="str">
        <f>"JAIME PINHEIRO"</f>
        <v>JAIME PINHEIRO</v>
      </c>
    </row>
    <row r="204" spans="1:5" hidden="1" x14ac:dyDescent="0.2">
      <c r="A204" s="2" t="str">
        <f t="shared" si="6"/>
        <v>15</v>
      </c>
      <c r="B204" s="2" t="str">
        <f>"Professor(a) de Cenografia"</f>
        <v>Professor(a) de Cenografia</v>
      </c>
      <c r="C204" s="2" t="str">
        <f>"Artes Cenicas"</f>
        <v>Artes Cenicas</v>
      </c>
      <c r="D204" s="3">
        <v>495</v>
      </c>
      <c r="E204" s="2" t="str">
        <f>"JAIME PINHEIRO"</f>
        <v>JAIME PINHEIRO</v>
      </c>
    </row>
    <row r="205" spans="1:5" hidden="1" x14ac:dyDescent="0.2">
      <c r="A205" s="2" t="str">
        <f t="shared" si="6"/>
        <v>15</v>
      </c>
      <c r="B205" s="2" t="str">
        <f>"Professor(a) de Música"</f>
        <v>Professor(a) de Música</v>
      </c>
      <c r="C205" s="2" t="str">
        <f>"Conservatorio"</f>
        <v>Conservatorio</v>
      </c>
      <c r="D205" s="3">
        <v>543</v>
      </c>
      <c r="E205" s="2" t="str">
        <f>"JAIRO LADEIA DA SILVA"</f>
        <v>JAIRO LADEIA DA SILVA</v>
      </c>
    </row>
    <row r="206" spans="1:5" hidden="1" x14ac:dyDescent="0.2">
      <c r="A206" s="2" t="str">
        <f t="shared" si="6"/>
        <v>15</v>
      </c>
      <c r="B206" s="2" t="str">
        <f>"Professor(a) de Música"</f>
        <v>Professor(a) de Música</v>
      </c>
      <c r="C206" s="2" t="str">
        <f>"Teatro"</f>
        <v>Teatro</v>
      </c>
      <c r="D206" s="3">
        <v>430</v>
      </c>
      <c r="E206" s="2" t="str">
        <f>"JANAINA VALERIA DE ALMEIDA"</f>
        <v>JANAINA VALERIA DE ALMEIDA</v>
      </c>
    </row>
    <row r="207" spans="1:5" hidden="1" x14ac:dyDescent="0.2">
      <c r="A207" s="2" t="str">
        <f t="shared" si="6"/>
        <v>15</v>
      </c>
      <c r="B207" s="2" t="str">
        <f>"Inspetor(a) Escolar"</f>
        <v>Inspetor(a) Escolar</v>
      </c>
      <c r="C207" s="2" t="str">
        <f>"Secretaria - Conservatorio"</f>
        <v>Secretaria - Conservatorio</v>
      </c>
      <c r="D207" s="3">
        <v>670</v>
      </c>
      <c r="E207" s="2" t="str">
        <f>"JAQUELINE DE SOUZA RODRIGUES"</f>
        <v>JAQUELINE DE SOUZA RODRIGUES</v>
      </c>
    </row>
    <row r="208" spans="1:5" hidden="1" x14ac:dyDescent="0.2">
      <c r="A208" s="2" t="str">
        <f t="shared" ref="A208:A271" si="7">"15"</f>
        <v>15</v>
      </c>
      <c r="B208" s="2" t="str">
        <f>"Inspetor(a) Escolar"</f>
        <v>Inspetor(a) Escolar</v>
      </c>
      <c r="C208" s="2" t="str">
        <f>"Secretaria - Conservatorio"</f>
        <v>Secretaria - Conservatorio</v>
      </c>
      <c r="D208" s="3">
        <v>671</v>
      </c>
      <c r="E208" s="2" t="str">
        <f>"JAQUELINE LOURDES BUENO PORCEL"</f>
        <v>JAQUELINE LOURDES BUENO PORCEL</v>
      </c>
    </row>
    <row r="209" spans="1:5" hidden="1" x14ac:dyDescent="0.2">
      <c r="A209" s="2" t="str">
        <f t="shared" si="7"/>
        <v>15</v>
      </c>
      <c r="B209" s="2" t="str">
        <f>"Professor(a) de Música"</f>
        <v>Professor(a) de Música</v>
      </c>
      <c r="C209" s="2" t="str">
        <f>"Polo Sao Jose do Rio Pardo"</f>
        <v>Polo Sao Jose do Rio Pardo</v>
      </c>
      <c r="D209" s="3">
        <v>584</v>
      </c>
      <c r="E209" s="2" t="str">
        <f>"JAQUELINE VOLPI"</f>
        <v>JAQUELINE VOLPI</v>
      </c>
    </row>
    <row r="210" spans="1:5" hidden="1" x14ac:dyDescent="0.2">
      <c r="A210" s="2" t="str">
        <f t="shared" si="7"/>
        <v>15</v>
      </c>
      <c r="B210" s="2" t="str">
        <f>"Professor(a) de Música"</f>
        <v>Professor(a) de Música</v>
      </c>
      <c r="C210" s="2" t="str">
        <f>"Conservatorio"</f>
        <v>Conservatorio</v>
      </c>
      <c r="D210" s="3">
        <v>602</v>
      </c>
      <c r="E210" s="2" t="str">
        <f>"JAVIER CALVINO CESARES"</f>
        <v>JAVIER CALVINO CESARES</v>
      </c>
    </row>
    <row r="211" spans="1:5" hidden="1" x14ac:dyDescent="0.2">
      <c r="A211" s="2" t="str">
        <f t="shared" si="7"/>
        <v>15</v>
      </c>
      <c r="B211" s="2" t="str">
        <f>"Professor(a) de Música"</f>
        <v>Professor(a) de Música</v>
      </c>
      <c r="C211" s="2" t="str">
        <f>"Teatro"</f>
        <v>Teatro</v>
      </c>
      <c r="D211" s="3">
        <v>444</v>
      </c>
      <c r="E211" s="2" t="str">
        <f>"JEFERSON HENRIQUE DE OLIVEIRA"</f>
        <v>JEFERSON HENRIQUE DE OLIVEIRA</v>
      </c>
    </row>
    <row r="212" spans="1:5" hidden="1" x14ac:dyDescent="0.2">
      <c r="A212" s="2" t="str">
        <f t="shared" si="7"/>
        <v>15</v>
      </c>
      <c r="B212" s="2" t="str">
        <f>"Porteiro (12x36)"</f>
        <v>Porteiro (12x36)</v>
      </c>
      <c r="C212" s="2" t="str">
        <f>"Portaria"</f>
        <v>Portaria</v>
      </c>
      <c r="D212" s="3">
        <v>372</v>
      </c>
      <c r="E212" s="2" t="str">
        <f>"JEREMIAS ALVES DE OLIVEIRA"</f>
        <v>JEREMIAS ALVES DE OLIVEIRA</v>
      </c>
    </row>
    <row r="213" spans="1:5" hidden="1" x14ac:dyDescent="0.2">
      <c r="A213" s="2" t="str">
        <f t="shared" si="7"/>
        <v>15</v>
      </c>
      <c r="B213" s="2" t="str">
        <f>"Professor(a) de Artes Cênicas"</f>
        <v>Professor(a) de Artes Cênicas</v>
      </c>
      <c r="C213" s="2" t="str">
        <f>"Artes Cenicas"</f>
        <v>Artes Cenicas</v>
      </c>
      <c r="D213" s="3">
        <v>492</v>
      </c>
      <c r="E213" s="2" t="str">
        <f>"JOAO ARMANDO FABBRO"</f>
        <v>JOAO ARMANDO FABBRO</v>
      </c>
    </row>
    <row r="214" spans="1:5" hidden="1" x14ac:dyDescent="0.2">
      <c r="A214" s="2" t="str">
        <f t="shared" si="7"/>
        <v>15</v>
      </c>
      <c r="B214" s="2" t="str">
        <f>"Auxiliar de Manutenção Geral"</f>
        <v>Auxiliar de Manutenção Geral</v>
      </c>
      <c r="C214" s="2" t="str">
        <f>"Infraestrutura - Conservatório"</f>
        <v>Infraestrutura - Conservatório</v>
      </c>
      <c r="D214" s="3">
        <v>369</v>
      </c>
      <c r="E214" s="2" t="str">
        <f>"JOAO DOMINGOS PEREIRA RODRIGUES"</f>
        <v>JOAO DOMINGOS PEREIRA RODRIGUES</v>
      </c>
    </row>
    <row r="215" spans="1:5" hidden="1" x14ac:dyDescent="0.2">
      <c r="A215" s="2" t="str">
        <f t="shared" si="7"/>
        <v>15</v>
      </c>
      <c r="B215" s="2" t="str">
        <f>"Professor(a) de Música"</f>
        <v>Professor(a) de Música</v>
      </c>
      <c r="C215" s="2" t="str">
        <f>"Conservatorio"</f>
        <v>Conservatorio</v>
      </c>
      <c r="D215" s="3">
        <v>535</v>
      </c>
      <c r="E215" s="2" t="str">
        <f>"JOAO JOSE XAVIER DA SILVA"</f>
        <v>JOAO JOSE XAVIER DA SILVA</v>
      </c>
    </row>
    <row r="216" spans="1:5" hidden="1" x14ac:dyDescent="0.2">
      <c r="A216" s="2" t="str">
        <f t="shared" si="7"/>
        <v>15</v>
      </c>
      <c r="B216" s="2" t="str">
        <f>"Supervisor de Recursos Humanos"</f>
        <v>Supervisor de Recursos Humanos</v>
      </c>
      <c r="C216" s="2" t="str">
        <f>"Adm - RH"</f>
        <v>Adm - RH</v>
      </c>
      <c r="D216" s="3">
        <v>357</v>
      </c>
      <c r="E216" s="2" t="str">
        <f>"JOAO PAULO DOMINGOS DA SILVA SOARES"</f>
        <v>JOAO PAULO DOMINGOS DA SILVA SOARES</v>
      </c>
    </row>
    <row r="217" spans="1:5" hidden="1" x14ac:dyDescent="0.2">
      <c r="A217" s="2" t="str">
        <f t="shared" si="7"/>
        <v>15</v>
      </c>
      <c r="B217" s="2" t="str">
        <f t="shared" ref="B217:B222" si="8">"Professor(a) de Música"</f>
        <v>Professor(a) de Música</v>
      </c>
      <c r="C217" s="2" t="str">
        <f>"Conservatorio"</f>
        <v>Conservatorio</v>
      </c>
      <c r="D217" s="3">
        <v>531</v>
      </c>
      <c r="E217" s="2" t="str">
        <f>"JOEL BERNARDES PEREIRA"</f>
        <v>JOEL BERNARDES PEREIRA</v>
      </c>
    </row>
    <row r="218" spans="1:5" hidden="1" x14ac:dyDescent="0.2">
      <c r="A218" s="2" t="str">
        <f t="shared" si="7"/>
        <v>15</v>
      </c>
      <c r="B218" s="2" t="str">
        <f t="shared" si="8"/>
        <v>Professor(a) de Música</v>
      </c>
      <c r="C218" s="2" t="str">
        <f>"Teatro"</f>
        <v>Teatro</v>
      </c>
      <c r="D218" s="3">
        <v>459</v>
      </c>
      <c r="E218" s="2" t="str">
        <f>"JOSE AUGUSTO DUCATTI"</f>
        <v>JOSE AUGUSTO DUCATTI</v>
      </c>
    </row>
    <row r="219" spans="1:5" hidden="1" x14ac:dyDescent="0.2">
      <c r="A219" s="2" t="str">
        <f t="shared" si="7"/>
        <v>15</v>
      </c>
      <c r="B219" s="2" t="str">
        <f t="shared" si="8"/>
        <v>Professor(a) de Música</v>
      </c>
      <c r="C219" s="2" t="str">
        <f>"Teatro"</f>
        <v>Teatro</v>
      </c>
      <c r="D219" s="3">
        <v>442</v>
      </c>
      <c r="E219" s="2" t="str">
        <f>"JOSE CARLOS RODRIGUES NETTO"</f>
        <v>JOSE CARLOS RODRIGUES NETTO</v>
      </c>
    </row>
    <row r="220" spans="1:5" hidden="1" x14ac:dyDescent="0.2">
      <c r="A220" s="2" t="str">
        <f t="shared" si="7"/>
        <v>15</v>
      </c>
      <c r="B220" s="2" t="str">
        <f t="shared" si="8"/>
        <v>Professor(a) de Música</v>
      </c>
      <c r="C220" s="2" t="str">
        <f>"Conservatorio"</f>
        <v>Conservatorio</v>
      </c>
      <c r="D220" s="3">
        <v>509</v>
      </c>
      <c r="E220" s="2" t="str">
        <f>"JOSE DANIEL LAZALASILVA VARGAS"</f>
        <v>JOSE DANIEL LAZALASILVA VARGAS</v>
      </c>
    </row>
    <row r="221" spans="1:5" hidden="1" x14ac:dyDescent="0.2">
      <c r="A221" s="2" t="str">
        <f t="shared" si="7"/>
        <v>15</v>
      </c>
      <c r="B221" s="2" t="str">
        <f t="shared" si="8"/>
        <v>Professor(a) de Música</v>
      </c>
      <c r="C221" s="2" t="str">
        <f>"Conservatorio"</f>
        <v>Conservatorio</v>
      </c>
      <c r="D221" s="3">
        <v>578</v>
      </c>
      <c r="E221" s="2" t="str">
        <f>"JOSE DOS SANTOS COLARES DA SILVA"</f>
        <v>JOSE DOS SANTOS COLARES DA SILVA</v>
      </c>
    </row>
    <row r="222" spans="1:5" hidden="1" x14ac:dyDescent="0.2">
      <c r="A222" s="2" t="str">
        <f t="shared" si="7"/>
        <v>15</v>
      </c>
      <c r="B222" s="2" t="str">
        <f t="shared" si="8"/>
        <v>Professor(a) de Música</v>
      </c>
      <c r="C222" s="2" t="str">
        <f>"Conservatorio"</f>
        <v>Conservatorio</v>
      </c>
      <c r="D222" s="3">
        <v>565</v>
      </c>
      <c r="E222" s="2" t="str">
        <f>"JOSE GERALDO FINATTI PARDUCI"</f>
        <v>JOSE GERALDO FINATTI PARDUCI</v>
      </c>
    </row>
    <row r="223" spans="1:5" hidden="1" x14ac:dyDescent="0.2">
      <c r="A223" s="2" t="str">
        <f t="shared" si="7"/>
        <v>15</v>
      </c>
      <c r="B223" s="2" t="str">
        <f>"Assistente Administrativo"</f>
        <v>Assistente Administrativo</v>
      </c>
      <c r="C223" s="2" t="str">
        <f>"Conservatorio"</f>
        <v>Conservatorio</v>
      </c>
      <c r="D223" s="3">
        <v>35088</v>
      </c>
      <c r="E223" s="2" t="str">
        <f>"JOSE RENATO GONCALVES"</f>
        <v>JOSE RENATO GONCALVES</v>
      </c>
    </row>
    <row r="224" spans="1:5" hidden="1" x14ac:dyDescent="0.2">
      <c r="A224" s="2" t="str">
        <f t="shared" si="7"/>
        <v>15</v>
      </c>
      <c r="B224" s="2" t="str">
        <f>"Professor(a) de Música"</f>
        <v>Professor(a) de Música</v>
      </c>
      <c r="C224" s="2" t="str">
        <f>"Teatro"</f>
        <v>Teatro</v>
      </c>
      <c r="D224" s="3">
        <v>428</v>
      </c>
      <c r="E224" s="2" t="str">
        <f>"JOSE ROQUE CORTESE"</f>
        <v>JOSE ROQUE CORTESE</v>
      </c>
    </row>
    <row r="225" spans="1:5" hidden="1" x14ac:dyDescent="0.2">
      <c r="A225" s="2" t="str">
        <f t="shared" si="7"/>
        <v>15</v>
      </c>
      <c r="B225" s="2" t="str">
        <f>"Porteiro"</f>
        <v>Porteiro</v>
      </c>
      <c r="C225" s="2" t="str">
        <f>"Portaria"</f>
        <v>Portaria</v>
      </c>
      <c r="D225" s="3">
        <v>384</v>
      </c>
      <c r="E225" s="2" t="str">
        <f>"JOSE VICTOR RODRIGUES"</f>
        <v>JOSE VICTOR RODRIGUES</v>
      </c>
    </row>
    <row r="226" spans="1:5" hidden="1" x14ac:dyDescent="0.2">
      <c r="A226" s="2" t="str">
        <f t="shared" si="7"/>
        <v>15</v>
      </c>
      <c r="B226" s="2" t="str">
        <f t="shared" ref="B226:B231" si="9">"Professor(a) de Música"</f>
        <v>Professor(a) de Música</v>
      </c>
      <c r="C226" s="2" t="str">
        <f>"Unidade 2"</f>
        <v>Unidade 2</v>
      </c>
      <c r="D226" s="3">
        <v>626</v>
      </c>
      <c r="E226" s="2" t="str">
        <f>"JOSIANE DIOGO GONCALVES"</f>
        <v>JOSIANE DIOGO GONCALVES</v>
      </c>
    </row>
    <row r="227" spans="1:5" hidden="1" x14ac:dyDescent="0.2">
      <c r="A227" s="2" t="str">
        <f t="shared" si="7"/>
        <v>15</v>
      </c>
      <c r="B227" s="2" t="str">
        <f t="shared" si="9"/>
        <v>Professor(a) de Música</v>
      </c>
      <c r="C227" s="2" t="str">
        <f>"Conservatorio"</f>
        <v>Conservatorio</v>
      </c>
      <c r="D227" s="3">
        <v>574</v>
      </c>
      <c r="E227" s="2" t="str">
        <f>"JOSIVAL APARECIDO PAES"</f>
        <v>JOSIVAL APARECIDO PAES</v>
      </c>
    </row>
    <row r="228" spans="1:5" hidden="1" x14ac:dyDescent="0.2">
      <c r="A228" s="2" t="str">
        <f t="shared" si="7"/>
        <v>15</v>
      </c>
      <c r="B228" s="2" t="str">
        <f t="shared" si="9"/>
        <v>Professor(a) de Música</v>
      </c>
      <c r="C228" s="2" t="str">
        <f>"Unidade 2"</f>
        <v>Unidade 2</v>
      </c>
      <c r="D228" s="3">
        <v>665</v>
      </c>
      <c r="E228" s="2" t="str">
        <f>"JUAN MARINO CARNERO ALVES ELIAS"</f>
        <v>JUAN MARINO CARNERO ALVES ELIAS</v>
      </c>
    </row>
    <row r="229" spans="1:5" hidden="1" x14ac:dyDescent="0.2">
      <c r="A229" s="2" t="str">
        <f t="shared" si="7"/>
        <v>15</v>
      </c>
      <c r="B229" s="2" t="str">
        <f t="shared" si="9"/>
        <v>Professor(a) de Música</v>
      </c>
      <c r="C229" s="2" t="str">
        <f>"Polo Sao Jose do Rio Pardo"</f>
        <v>Polo Sao Jose do Rio Pardo</v>
      </c>
      <c r="D229" s="3">
        <v>34971</v>
      </c>
      <c r="E229" s="2" t="str">
        <f>"JUCILENE BUOSI FECHUS BORGES"</f>
        <v>JUCILENE BUOSI FECHUS BORGES</v>
      </c>
    </row>
    <row r="230" spans="1:5" hidden="1" x14ac:dyDescent="0.2">
      <c r="A230" s="2" t="str">
        <f t="shared" si="7"/>
        <v>15</v>
      </c>
      <c r="B230" s="2" t="str">
        <f t="shared" si="9"/>
        <v>Professor(a) de Música</v>
      </c>
      <c r="C230" s="2" t="str">
        <f>"Unidade 2"</f>
        <v>Unidade 2</v>
      </c>
      <c r="D230" s="3">
        <v>627</v>
      </c>
      <c r="E230" s="2" t="str">
        <f>"JULIANA DOS SANTOS OLIVEIRA"</f>
        <v>JULIANA DOS SANTOS OLIVEIRA</v>
      </c>
    </row>
    <row r="231" spans="1:5" hidden="1" x14ac:dyDescent="0.2">
      <c r="A231" s="2" t="str">
        <f t="shared" si="7"/>
        <v>15</v>
      </c>
      <c r="B231" s="2" t="str">
        <f t="shared" si="9"/>
        <v>Professor(a) de Música</v>
      </c>
      <c r="C231" s="2" t="str">
        <f>"Conservatorio"</f>
        <v>Conservatorio</v>
      </c>
      <c r="D231" s="3">
        <v>523</v>
      </c>
      <c r="E231" s="2" t="str">
        <f>"JULIANO BRITO KERBER"</f>
        <v>JULIANO BRITO KERBER</v>
      </c>
    </row>
    <row r="232" spans="1:5" hidden="1" x14ac:dyDescent="0.2">
      <c r="A232" s="2" t="str">
        <f t="shared" si="7"/>
        <v>15</v>
      </c>
      <c r="B232" s="2" t="str">
        <f>"Porteiro (12x36)"</f>
        <v>Porteiro (12x36)</v>
      </c>
      <c r="C232" s="2" t="str">
        <f>"Portaria"</f>
        <v>Portaria</v>
      </c>
      <c r="D232" s="3">
        <v>377</v>
      </c>
      <c r="E232" s="2" t="str">
        <f>"JULIANO DE BARROS CORREA"</f>
        <v>JULIANO DE BARROS CORREA</v>
      </c>
    </row>
    <row r="233" spans="1:5" hidden="1" x14ac:dyDescent="0.2">
      <c r="A233" s="2" t="str">
        <f t="shared" si="7"/>
        <v>15</v>
      </c>
      <c r="B233" s="2" t="str">
        <f>"Professor(a) de Música"</f>
        <v>Professor(a) de Música</v>
      </c>
      <c r="C233" s="2" t="str">
        <f>"Polo Sao Jose do Rio Pardo"</f>
        <v>Polo Sao Jose do Rio Pardo</v>
      </c>
      <c r="D233" s="3">
        <v>587</v>
      </c>
      <c r="E233" s="2" t="str">
        <f>"JULIANO MARQUES BARRETO"</f>
        <v>JULIANO MARQUES BARRETO</v>
      </c>
    </row>
    <row r="234" spans="1:5" hidden="1" x14ac:dyDescent="0.2">
      <c r="A234" s="2" t="str">
        <f t="shared" si="7"/>
        <v>15</v>
      </c>
      <c r="B234" s="2" t="str">
        <f>"Professor(a) de Música"</f>
        <v>Professor(a) de Música</v>
      </c>
      <c r="C234" s="2" t="str">
        <f>"Unidade 2"</f>
        <v>Unidade 2</v>
      </c>
      <c r="D234" s="3">
        <v>635</v>
      </c>
      <c r="E234" s="2" t="str">
        <f>"KARIN SCHINCARIOL VERCELLINO"</f>
        <v>KARIN SCHINCARIOL VERCELLINO</v>
      </c>
    </row>
    <row r="235" spans="1:5" hidden="1" x14ac:dyDescent="0.2">
      <c r="A235" s="2" t="str">
        <f t="shared" si="7"/>
        <v>15</v>
      </c>
      <c r="B235" s="2" t="str">
        <f>"Professor(a) de Música"</f>
        <v>Professor(a) de Música</v>
      </c>
      <c r="C235" s="2" t="str">
        <f>"Musicalização Infantil"</f>
        <v>Musicalização Infantil</v>
      </c>
      <c r="D235" s="3">
        <v>514</v>
      </c>
      <c r="E235" s="2" t="str">
        <f>"KARLA CREMONEZ GAMBAROTTO VIEIRA"</f>
        <v>KARLA CREMONEZ GAMBAROTTO VIEIRA</v>
      </c>
    </row>
    <row r="236" spans="1:5" hidden="1" x14ac:dyDescent="0.2">
      <c r="A236" s="2" t="str">
        <f t="shared" si="7"/>
        <v>15</v>
      </c>
      <c r="B236" s="2" t="str">
        <f>"ANALISTA DE SISTEMAS JR"</f>
        <v>ANALISTA DE SISTEMAS JR</v>
      </c>
      <c r="C236" s="2" t="str">
        <f>"Adm - TI"</f>
        <v>Adm - TI</v>
      </c>
      <c r="D236" s="3">
        <v>35091</v>
      </c>
      <c r="E236" s="2" t="str">
        <f>"KEILA REGINA NOVAIS MURBA"</f>
        <v>KEILA REGINA NOVAIS MURBA</v>
      </c>
    </row>
    <row r="237" spans="1:5" hidden="1" x14ac:dyDescent="0.2">
      <c r="A237" s="2" t="str">
        <f t="shared" si="7"/>
        <v>15</v>
      </c>
      <c r="B237" s="2" t="str">
        <f>"Professor(a) de Música"</f>
        <v>Professor(a) de Música</v>
      </c>
      <c r="C237" s="2" t="str">
        <f>"Teatro"</f>
        <v>Teatro</v>
      </c>
      <c r="D237" s="3">
        <v>454</v>
      </c>
      <c r="E237" s="2" t="str">
        <f>"LEANDRO BORGES VIGINOTTI"</f>
        <v>LEANDRO BORGES VIGINOTTI</v>
      </c>
    </row>
    <row r="238" spans="1:5" hidden="1" x14ac:dyDescent="0.2">
      <c r="A238" s="2" t="str">
        <f t="shared" si="7"/>
        <v>15</v>
      </c>
      <c r="B238" s="2" t="str">
        <f>"Ajudante em Serviços Gerais"</f>
        <v>Ajudante em Serviços Gerais</v>
      </c>
      <c r="C238" s="2" t="str">
        <f>"Infraestrutura - Conservatório"</f>
        <v>Infraestrutura - Conservatório</v>
      </c>
      <c r="D238" s="3">
        <v>398</v>
      </c>
      <c r="E238" s="2" t="str">
        <f>"LENICE LOPES DA SILVA SOUZA"</f>
        <v>LENICE LOPES DA SILVA SOUZA</v>
      </c>
    </row>
    <row r="239" spans="1:5" hidden="1" x14ac:dyDescent="0.2">
      <c r="A239" s="2" t="str">
        <f t="shared" si="7"/>
        <v>15</v>
      </c>
      <c r="B239" s="2" t="str">
        <f>"Assistente de Comunicacao"</f>
        <v>Assistente de Comunicacao</v>
      </c>
      <c r="C239" s="2" t="str">
        <f>"Adm - Comunicação"</f>
        <v>Adm - Comunicação</v>
      </c>
      <c r="D239" s="3">
        <v>35082</v>
      </c>
      <c r="E239" s="2" t="str">
        <f>"LENITA APOLONIO LERRI"</f>
        <v>LENITA APOLONIO LERRI</v>
      </c>
    </row>
    <row r="240" spans="1:5" hidden="1" x14ac:dyDescent="0.2">
      <c r="A240" s="2" t="str">
        <f t="shared" si="7"/>
        <v>15</v>
      </c>
      <c r="B240" s="2" t="str">
        <f>"Professor(a) de Música"</f>
        <v>Professor(a) de Música</v>
      </c>
      <c r="C240" s="2" t="str">
        <f>"Teatro"</f>
        <v>Teatro</v>
      </c>
      <c r="D240" s="3">
        <v>478</v>
      </c>
      <c r="E240" s="2" t="str">
        <f>"LEONARDO FERRARINI"</f>
        <v>LEONARDO FERRARINI</v>
      </c>
    </row>
    <row r="241" spans="1:5" hidden="1" x14ac:dyDescent="0.2">
      <c r="A241" s="2" t="str">
        <f t="shared" si="7"/>
        <v>15</v>
      </c>
      <c r="B241" s="2" t="str">
        <f>"Professor(a) de Música"</f>
        <v>Professor(a) de Música</v>
      </c>
      <c r="C241" s="2" t="str">
        <f>"Polo Sao Jose do Rio Pardo"</f>
        <v>Polo Sao Jose do Rio Pardo</v>
      </c>
      <c r="D241" s="3">
        <v>588</v>
      </c>
      <c r="E241" s="2" t="str">
        <f>"LEONARDO GOMES DE FARIA"</f>
        <v>LEONARDO GOMES DE FARIA</v>
      </c>
    </row>
    <row r="242" spans="1:5" hidden="1" x14ac:dyDescent="0.2">
      <c r="A242" s="2" t="str">
        <f t="shared" si="7"/>
        <v>15</v>
      </c>
      <c r="B242" s="2" t="str">
        <f>"Professor(a) de Música"</f>
        <v>Professor(a) de Música</v>
      </c>
      <c r="C242" s="2" t="str">
        <f>"Polo Sao Jose do Rio Pardo"</f>
        <v>Polo Sao Jose do Rio Pardo</v>
      </c>
      <c r="D242" s="3">
        <v>591</v>
      </c>
      <c r="E242" s="2" t="str">
        <f>"LIGIA NASSIF CONTI"</f>
        <v>LIGIA NASSIF CONTI</v>
      </c>
    </row>
    <row r="243" spans="1:5" hidden="1" x14ac:dyDescent="0.2">
      <c r="A243" s="2" t="str">
        <f t="shared" si="7"/>
        <v>15</v>
      </c>
      <c r="B243" s="2" t="str">
        <f>"Professor(a) de Música"</f>
        <v>Professor(a) de Música</v>
      </c>
      <c r="C243" s="2" t="str">
        <f>"Teatro"</f>
        <v>Teatro</v>
      </c>
      <c r="D243" s="3">
        <v>434</v>
      </c>
      <c r="E243" s="2" t="str">
        <f>"LINDEMBERG CAVALCANTE DA SILVA"</f>
        <v>LINDEMBERG CAVALCANTE DA SILVA</v>
      </c>
    </row>
    <row r="244" spans="1:5" hidden="1" x14ac:dyDescent="0.2">
      <c r="A244" s="2" t="str">
        <f t="shared" si="7"/>
        <v>15</v>
      </c>
      <c r="B244" s="2" t="str">
        <f>"Auxiliar Almoxarifado"</f>
        <v>Auxiliar Almoxarifado</v>
      </c>
      <c r="C244" s="2" t="str">
        <f>"Adm - Logistica/Patrimonio"</f>
        <v>Adm - Logistica/Patrimonio</v>
      </c>
      <c r="D244" s="3">
        <v>35093</v>
      </c>
      <c r="E244" s="2" t="str">
        <f>"LIVIO DE SOUZA SILVA"</f>
        <v>LIVIO DE SOUZA SILVA</v>
      </c>
    </row>
    <row r="245" spans="1:5" hidden="1" x14ac:dyDescent="0.2">
      <c r="A245" s="2" t="str">
        <f t="shared" si="7"/>
        <v>15</v>
      </c>
      <c r="B245" s="2" t="str">
        <f>"Professor(a) de Música"</f>
        <v>Professor(a) de Música</v>
      </c>
      <c r="C245" s="2" t="str">
        <f>"Conservatorio"</f>
        <v>Conservatorio</v>
      </c>
      <c r="D245" s="3">
        <v>522</v>
      </c>
      <c r="E245" s="2" t="str">
        <f>"LUCIA ELISABETH PAVANELLI GALVAO"</f>
        <v>LUCIA ELISABETH PAVANELLI GALVAO</v>
      </c>
    </row>
    <row r="246" spans="1:5" hidden="1" x14ac:dyDescent="0.2">
      <c r="A246" s="2" t="str">
        <f t="shared" si="7"/>
        <v>15</v>
      </c>
      <c r="B246" s="2" t="str">
        <f>"Analista Captador Recursos SR"</f>
        <v>Analista Captador Recursos SR</v>
      </c>
      <c r="C246" s="2" t="str">
        <f>"Mobilização de Recursos"</f>
        <v>Mobilização de Recursos</v>
      </c>
      <c r="D246" s="3">
        <v>403</v>
      </c>
      <c r="E246" s="2" t="str">
        <f>"LUCIANA DE OLIVEIRA"</f>
        <v>LUCIANA DE OLIVEIRA</v>
      </c>
    </row>
    <row r="247" spans="1:5" hidden="1" x14ac:dyDescent="0.2">
      <c r="A247" s="2" t="str">
        <f t="shared" si="7"/>
        <v>15</v>
      </c>
      <c r="B247" s="2" t="str">
        <f>"Professor(a) de Música"</f>
        <v>Professor(a) de Música</v>
      </c>
      <c r="C247" s="2" t="str">
        <f>"Unidade 2"</f>
        <v>Unidade 2</v>
      </c>
      <c r="D247" s="3">
        <v>475</v>
      </c>
      <c r="E247" s="2" t="str">
        <f>"LUCIANE MOURA DE BARROS"</f>
        <v>LUCIANE MOURA DE BARROS</v>
      </c>
    </row>
    <row r="248" spans="1:5" hidden="1" x14ac:dyDescent="0.2">
      <c r="A248" s="2" t="str">
        <f t="shared" si="7"/>
        <v>15</v>
      </c>
      <c r="B248" s="2" t="str">
        <f>"Auxiliar de Manutenção Geral"</f>
        <v>Auxiliar de Manutenção Geral</v>
      </c>
      <c r="C248" s="2" t="str">
        <f>"Infraestrutura - Conservatório"</f>
        <v>Infraestrutura - Conservatório</v>
      </c>
      <c r="D248" s="3">
        <v>379</v>
      </c>
      <c r="E248" s="2" t="str">
        <f>"LUCIANO CESAR CARESIA"</f>
        <v>LUCIANO CESAR CARESIA</v>
      </c>
    </row>
    <row r="249" spans="1:5" hidden="1" x14ac:dyDescent="0.2">
      <c r="A249" s="2" t="str">
        <f t="shared" si="7"/>
        <v>15</v>
      </c>
      <c r="B249" s="2" t="str">
        <f t="shared" ref="B249:B261" si="10">"Professor(a) de Música"</f>
        <v>Professor(a) de Música</v>
      </c>
      <c r="C249" s="2" t="str">
        <f>"Unidade 2"</f>
        <v>Unidade 2</v>
      </c>
      <c r="D249" s="3">
        <v>611</v>
      </c>
      <c r="E249" s="2" t="str">
        <f>"LUCIANO SILVEIRA PEREIRA"</f>
        <v>LUCIANO SILVEIRA PEREIRA</v>
      </c>
    </row>
    <row r="250" spans="1:5" hidden="1" x14ac:dyDescent="0.2">
      <c r="A250" s="2" t="str">
        <f t="shared" si="7"/>
        <v>15</v>
      </c>
      <c r="B250" s="2" t="str">
        <f t="shared" si="10"/>
        <v>Professor(a) de Música</v>
      </c>
      <c r="C250" s="2" t="str">
        <f>"Conservatorio"</f>
        <v>Conservatorio</v>
      </c>
      <c r="D250" s="3">
        <v>532</v>
      </c>
      <c r="E250" s="2" t="str">
        <f>"LUCIANO VAZ VIEIRA"</f>
        <v>LUCIANO VAZ VIEIRA</v>
      </c>
    </row>
    <row r="251" spans="1:5" hidden="1" x14ac:dyDescent="0.2">
      <c r="A251" s="2" t="str">
        <f t="shared" si="7"/>
        <v>15</v>
      </c>
      <c r="B251" s="2" t="str">
        <f t="shared" si="10"/>
        <v>Professor(a) de Música</v>
      </c>
      <c r="C251" s="2" t="str">
        <f>"Unidade 2"</f>
        <v>Unidade 2</v>
      </c>
      <c r="D251" s="3">
        <v>35083</v>
      </c>
      <c r="E251" s="2" t="str">
        <f>"LUDMILLA THOMPSON SATHLER FREITAS"</f>
        <v>LUDMILLA THOMPSON SATHLER FREITAS</v>
      </c>
    </row>
    <row r="252" spans="1:5" hidden="1" x14ac:dyDescent="0.2">
      <c r="A252" s="2" t="str">
        <f t="shared" si="7"/>
        <v>15</v>
      </c>
      <c r="B252" s="2" t="str">
        <f t="shared" si="10"/>
        <v>Professor(a) de Música</v>
      </c>
      <c r="C252" s="2" t="str">
        <f>"Conservatorio"</f>
        <v>Conservatorio</v>
      </c>
      <c r="D252" s="3">
        <v>605</v>
      </c>
      <c r="E252" s="2" t="str">
        <f>"LUIS MARCOS CALDANA"</f>
        <v>LUIS MARCOS CALDANA</v>
      </c>
    </row>
    <row r="253" spans="1:5" hidden="1" x14ac:dyDescent="0.2">
      <c r="A253" s="2" t="str">
        <f t="shared" si="7"/>
        <v>15</v>
      </c>
      <c r="B253" s="2" t="str">
        <f t="shared" si="10"/>
        <v>Professor(a) de Música</v>
      </c>
      <c r="C253" s="2" t="str">
        <f>"Polo Sao Jose do Rio Pardo"</f>
        <v>Polo Sao Jose do Rio Pardo</v>
      </c>
      <c r="D253" s="3">
        <v>580</v>
      </c>
      <c r="E253" s="2" t="str">
        <f>"LUIZ AKIRA MIYASHIRO"</f>
        <v>LUIZ AKIRA MIYASHIRO</v>
      </c>
    </row>
    <row r="254" spans="1:5" hidden="1" x14ac:dyDescent="0.2">
      <c r="A254" s="2" t="str">
        <f t="shared" si="7"/>
        <v>15</v>
      </c>
      <c r="B254" s="2" t="str">
        <f t="shared" si="10"/>
        <v>Professor(a) de Música</v>
      </c>
      <c r="C254" s="2" t="str">
        <f>"Conservatorio"</f>
        <v>Conservatorio</v>
      </c>
      <c r="D254" s="3">
        <v>545</v>
      </c>
      <c r="E254" s="2" t="str">
        <f>"LUIZ GUSTAVO BIMBATTI ASSUMPCAO"</f>
        <v>LUIZ GUSTAVO BIMBATTI ASSUMPCAO</v>
      </c>
    </row>
    <row r="255" spans="1:5" hidden="1" x14ac:dyDescent="0.2">
      <c r="A255" s="2" t="str">
        <f t="shared" si="7"/>
        <v>15</v>
      </c>
      <c r="B255" s="2" t="str">
        <f t="shared" si="10"/>
        <v>Professor(a) de Música</v>
      </c>
      <c r="C255" s="2" t="str">
        <f>"Unidade 2"</f>
        <v>Unidade 2</v>
      </c>
      <c r="D255" s="3">
        <v>614</v>
      </c>
      <c r="E255" s="2" t="str">
        <f>"LUIZ RAFAEL MORETTO GIORGETTI"</f>
        <v>LUIZ RAFAEL MORETTO GIORGETTI</v>
      </c>
    </row>
    <row r="256" spans="1:5" hidden="1" x14ac:dyDescent="0.2">
      <c r="A256" s="2" t="str">
        <f t="shared" si="7"/>
        <v>15</v>
      </c>
      <c r="B256" s="2" t="str">
        <f t="shared" si="10"/>
        <v>Professor(a) de Música</v>
      </c>
      <c r="C256" s="2" t="str">
        <f>"Polo Sao Jose do Rio Pardo"</f>
        <v>Polo Sao Jose do Rio Pardo</v>
      </c>
      <c r="D256" s="3">
        <v>595</v>
      </c>
      <c r="E256" s="2" t="str">
        <f>"MAIKEL ANTONIO MORELLI"</f>
        <v>MAIKEL ANTONIO MORELLI</v>
      </c>
    </row>
    <row r="257" spans="1:5" hidden="1" x14ac:dyDescent="0.2">
      <c r="A257" s="2" t="str">
        <f t="shared" si="7"/>
        <v>15</v>
      </c>
      <c r="B257" s="2" t="str">
        <f t="shared" si="10"/>
        <v>Professor(a) de Música</v>
      </c>
      <c r="C257" s="2" t="str">
        <f>"Teatro"</f>
        <v>Teatro</v>
      </c>
      <c r="D257" s="3">
        <v>462</v>
      </c>
      <c r="E257" s="2" t="str">
        <f>"MARCELO APARECIDO AFONSO"</f>
        <v>MARCELO APARECIDO AFONSO</v>
      </c>
    </row>
    <row r="258" spans="1:5" hidden="1" x14ac:dyDescent="0.2">
      <c r="A258" s="2" t="str">
        <f t="shared" si="7"/>
        <v>15</v>
      </c>
      <c r="B258" s="2" t="str">
        <f t="shared" si="10"/>
        <v>Professor(a) de Música</v>
      </c>
      <c r="C258" s="2" t="str">
        <f>"Conservatorio"</f>
        <v>Conservatorio</v>
      </c>
      <c r="D258" s="3">
        <v>533</v>
      </c>
      <c r="E258" s="2" t="str">
        <f>"MARCELO BENEDITO COSTA FRANCO DA SILVA"</f>
        <v>MARCELO BENEDITO COSTA FRANCO DA SILVA</v>
      </c>
    </row>
    <row r="259" spans="1:5" hidden="1" x14ac:dyDescent="0.2">
      <c r="A259" s="2" t="str">
        <f t="shared" si="7"/>
        <v>15</v>
      </c>
      <c r="B259" s="2" t="str">
        <f t="shared" si="10"/>
        <v>Professor(a) de Música</v>
      </c>
      <c r="C259" s="2" t="str">
        <f>"Unidade 2"</f>
        <v>Unidade 2</v>
      </c>
      <c r="D259" s="3">
        <v>610</v>
      </c>
      <c r="E259" s="2" t="str">
        <f>"MARCELO CANDIDO GONCALVES"</f>
        <v>MARCELO CANDIDO GONCALVES</v>
      </c>
    </row>
    <row r="260" spans="1:5" hidden="1" x14ac:dyDescent="0.2">
      <c r="A260" s="2" t="str">
        <f t="shared" si="7"/>
        <v>15</v>
      </c>
      <c r="B260" s="2" t="str">
        <f t="shared" si="10"/>
        <v>Professor(a) de Música</v>
      </c>
      <c r="C260" s="2" t="str">
        <f>"Conservatorio"</f>
        <v>Conservatorio</v>
      </c>
      <c r="D260" s="3">
        <v>537</v>
      </c>
      <c r="E260" s="2" t="str">
        <f>"MARCELO DE JESUS DA SILVA"</f>
        <v>MARCELO DE JESUS DA SILVA</v>
      </c>
    </row>
    <row r="261" spans="1:5" hidden="1" x14ac:dyDescent="0.2">
      <c r="A261" s="2" t="str">
        <f t="shared" si="7"/>
        <v>15</v>
      </c>
      <c r="B261" s="2" t="str">
        <f t="shared" si="10"/>
        <v>Professor(a) de Música</v>
      </c>
      <c r="C261" s="2" t="str">
        <f>"Conservatorio"</f>
        <v>Conservatorio</v>
      </c>
      <c r="D261" s="3">
        <v>563</v>
      </c>
      <c r="E261" s="2" t="str">
        <f>"MARCELO SILVA"</f>
        <v>MARCELO SILVA</v>
      </c>
    </row>
    <row r="262" spans="1:5" hidden="1" x14ac:dyDescent="0.2">
      <c r="A262" s="2" t="str">
        <f t="shared" si="7"/>
        <v>15</v>
      </c>
      <c r="B262" s="2" t="str">
        <f>"Tecnico de Audiovisual"</f>
        <v>Tecnico de Audiovisual</v>
      </c>
      <c r="C262" s="2" t="str">
        <f>"Produção e Eventos"</f>
        <v>Produção e Eventos</v>
      </c>
      <c r="D262" s="3">
        <v>410</v>
      </c>
      <c r="E262" s="2" t="str">
        <f>"MARCELO VIEIRA DE SOUZA"</f>
        <v>MARCELO VIEIRA DE SOUZA</v>
      </c>
    </row>
    <row r="263" spans="1:5" hidden="1" x14ac:dyDescent="0.2">
      <c r="A263" s="2" t="str">
        <f t="shared" si="7"/>
        <v>15</v>
      </c>
      <c r="B263" s="2" t="str">
        <f>"Professor(a) de Música"</f>
        <v>Professor(a) de Música</v>
      </c>
      <c r="C263" s="2" t="str">
        <f>"Conservatorio"</f>
        <v>Conservatorio</v>
      </c>
      <c r="D263" s="3">
        <v>506</v>
      </c>
      <c r="E263" s="2" t="str">
        <f>"MARCIA PATRICIA DA SILVA BOROTO"</f>
        <v>MARCIA PATRICIA DA SILVA BOROTO</v>
      </c>
    </row>
    <row r="264" spans="1:5" hidden="1" x14ac:dyDescent="0.2">
      <c r="A264" s="2" t="str">
        <f t="shared" si="7"/>
        <v>15</v>
      </c>
      <c r="B264" s="2" t="str">
        <f>"Professor(a) de Música"</f>
        <v>Professor(a) de Música</v>
      </c>
      <c r="C264" s="2" t="str">
        <f>"Conservatorio"</f>
        <v>Conservatorio</v>
      </c>
      <c r="D264" s="3">
        <v>541</v>
      </c>
      <c r="E264" s="2" t="str">
        <f>"MARCIA REGINA LICATTI"</f>
        <v>MARCIA REGINA LICATTI</v>
      </c>
    </row>
    <row r="265" spans="1:5" hidden="1" x14ac:dyDescent="0.2">
      <c r="A265" s="2" t="str">
        <f t="shared" si="7"/>
        <v>15</v>
      </c>
      <c r="B265" s="2" t="str">
        <f>"Professor(a) de Música"</f>
        <v>Professor(a) de Música</v>
      </c>
      <c r="C265" s="2" t="str">
        <f>"Polo Sao Jose do Rio Pardo"</f>
        <v>Polo Sao Jose do Rio Pardo</v>
      </c>
      <c r="D265" s="3">
        <v>35094</v>
      </c>
      <c r="E265" s="2" t="str">
        <f>"MARCIO PINHEIRO MAIA"</f>
        <v>MARCIO PINHEIRO MAIA</v>
      </c>
    </row>
    <row r="266" spans="1:5" hidden="1" x14ac:dyDescent="0.2">
      <c r="A266" s="2" t="str">
        <f t="shared" si="7"/>
        <v>15</v>
      </c>
      <c r="B266" s="2" t="str">
        <f>"Professor(a) de Música"</f>
        <v>Professor(a) de Música</v>
      </c>
      <c r="C266" s="2" t="str">
        <f>"Conservatorio"</f>
        <v>Conservatorio</v>
      </c>
      <c r="D266" s="3">
        <v>529</v>
      </c>
      <c r="E266" s="2" t="str">
        <f>"MARCO ANTONIO DE ALMEIDA JUNIOR"</f>
        <v>MARCO ANTONIO DE ALMEIDA JUNIOR</v>
      </c>
    </row>
    <row r="267" spans="1:5" hidden="1" x14ac:dyDescent="0.2">
      <c r="A267" s="2" t="str">
        <f t="shared" si="7"/>
        <v>15</v>
      </c>
      <c r="B267" s="2" t="str">
        <f>"Ajudante em Serviços Gerais"</f>
        <v>Ajudante em Serviços Gerais</v>
      </c>
      <c r="C267" s="2" t="str">
        <f>"Infraestrutura - Conservatório"</f>
        <v>Infraestrutura - Conservatório</v>
      </c>
      <c r="D267" s="3">
        <v>35056</v>
      </c>
      <c r="E267" s="2" t="str">
        <f>"MARCOS ANTONIO SILVA VIANA"</f>
        <v>MARCOS ANTONIO SILVA VIANA</v>
      </c>
    </row>
    <row r="268" spans="1:5" hidden="1" x14ac:dyDescent="0.2">
      <c r="A268" s="2" t="str">
        <f t="shared" si="7"/>
        <v>15</v>
      </c>
      <c r="B268" s="2" t="str">
        <f>"Professor(a) de Música"</f>
        <v>Professor(a) de Música</v>
      </c>
      <c r="C268" s="2" t="str">
        <f>"Teatro"</f>
        <v>Teatro</v>
      </c>
      <c r="D268" s="3">
        <v>432</v>
      </c>
      <c r="E268" s="2" t="str">
        <f>"MARCOS JUVENAL FERREIRA"</f>
        <v>MARCOS JUVENAL FERREIRA</v>
      </c>
    </row>
    <row r="269" spans="1:5" hidden="1" x14ac:dyDescent="0.2">
      <c r="A269" s="2" t="str">
        <f t="shared" si="7"/>
        <v>15</v>
      </c>
      <c r="B269" s="2" t="str">
        <f>"Professor(a) de Música"</f>
        <v>Professor(a) de Música</v>
      </c>
      <c r="C269" s="2" t="str">
        <f>"Unidade 2"</f>
        <v>Unidade 2</v>
      </c>
      <c r="D269" s="3">
        <v>618</v>
      </c>
      <c r="E269" s="2" t="str">
        <f>"MARCOS LEANDRO DO NASCIMENTO"</f>
        <v>MARCOS LEANDRO DO NASCIMENTO</v>
      </c>
    </row>
    <row r="270" spans="1:5" hidden="1" x14ac:dyDescent="0.2">
      <c r="A270" s="2" t="str">
        <f t="shared" si="7"/>
        <v>15</v>
      </c>
      <c r="B270" s="2" t="str">
        <f>"Professor(a) de Música"</f>
        <v>Professor(a) de Música</v>
      </c>
      <c r="C270" s="2" t="str">
        <f>"Unidade 2"</f>
        <v>Unidade 2</v>
      </c>
      <c r="D270" s="3">
        <v>689</v>
      </c>
      <c r="E270" s="2" t="str">
        <f>"MARCOS ROBERTO BALDINI"</f>
        <v>MARCOS ROBERTO BALDINI</v>
      </c>
    </row>
    <row r="271" spans="1:5" hidden="1" x14ac:dyDescent="0.2">
      <c r="A271" s="2" t="str">
        <f t="shared" si="7"/>
        <v>15</v>
      </c>
      <c r="B271" s="2" t="str">
        <f>"Professor(a) de Música"</f>
        <v>Professor(a) de Música</v>
      </c>
      <c r="C271" s="2" t="str">
        <f>"Conservatorio"</f>
        <v>Conservatorio</v>
      </c>
      <c r="D271" s="3">
        <v>544</v>
      </c>
      <c r="E271" s="2" t="str">
        <f>"MARCOS ROBERTO PEDROSO"</f>
        <v>MARCOS ROBERTO PEDROSO</v>
      </c>
    </row>
    <row r="272" spans="1:5" hidden="1" x14ac:dyDescent="0.2">
      <c r="A272" s="2" t="str">
        <f t="shared" ref="A272:A335" si="11">"15"</f>
        <v>15</v>
      </c>
      <c r="B272" s="2" t="str">
        <f>"Professor(a) de Música"</f>
        <v>Professor(a) de Música</v>
      </c>
      <c r="C272" s="2" t="str">
        <f>"Unidade 2"</f>
        <v>Unidade 2</v>
      </c>
      <c r="D272" s="3">
        <v>601</v>
      </c>
      <c r="E272" s="2" t="str">
        <f>"MARCUS VINICIUS SANT ANNA HELD NEVES"</f>
        <v>MARCUS VINICIUS SANT ANNA HELD NEVES</v>
      </c>
    </row>
    <row r="273" spans="1:5" hidden="1" x14ac:dyDescent="0.2">
      <c r="A273" s="2" t="str">
        <f t="shared" si="11"/>
        <v>15</v>
      </c>
      <c r="B273" s="2" t="str">
        <f>"Porteiro"</f>
        <v>Porteiro</v>
      </c>
      <c r="C273" s="2" t="str">
        <f>"Portaria"</f>
        <v>Portaria</v>
      </c>
      <c r="D273" s="3">
        <v>397</v>
      </c>
      <c r="E273" s="2" t="str">
        <f>"MARIA CRISTINA ZANETTA"</f>
        <v>MARIA CRISTINA ZANETTA</v>
      </c>
    </row>
    <row r="274" spans="1:5" hidden="1" x14ac:dyDescent="0.2">
      <c r="A274" s="2" t="str">
        <f t="shared" si="11"/>
        <v>15</v>
      </c>
      <c r="B274" s="2" t="str">
        <f>"Ajudante em Serviços Gerais"</f>
        <v>Ajudante em Serviços Gerais</v>
      </c>
      <c r="C274" s="2" t="str">
        <f>"Infraestrutura - Conservatório"</f>
        <v>Infraestrutura - Conservatório</v>
      </c>
      <c r="D274" s="3">
        <v>396</v>
      </c>
      <c r="E274" s="2" t="str">
        <f>"MARIA DA CONCEICAO LOPES DA SILVA"</f>
        <v>MARIA DA CONCEICAO LOPES DA SILVA</v>
      </c>
    </row>
    <row r="275" spans="1:5" hidden="1" x14ac:dyDescent="0.2">
      <c r="A275" s="2" t="str">
        <f t="shared" si="11"/>
        <v>15</v>
      </c>
      <c r="B275" s="2" t="str">
        <f>"Professor(a) de Música"</f>
        <v>Professor(a) de Música</v>
      </c>
      <c r="C275" s="2" t="str">
        <f>"Unidade 2"</f>
        <v>Unidade 2</v>
      </c>
      <c r="D275" s="3">
        <v>659</v>
      </c>
      <c r="E275" s="2" t="str">
        <f>"MARIA DA GLORIA BERTRAMI"</f>
        <v>MARIA DA GLORIA BERTRAMI</v>
      </c>
    </row>
    <row r="276" spans="1:5" hidden="1" x14ac:dyDescent="0.2">
      <c r="A276" s="2" t="str">
        <f t="shared" si="11"/>
        <v>15</v>
      </c>
      <c r="B276" s="2" t="str">
        <f>"Professor(a) de Música"</f>
        <v>Professor(a) de Música</v>
      </c>
      <c r="C276" s="2" t="str">
        <f>"Unidade 2"</f>
        <v>Unidade 2</v>
      </c>
      <c r="D276" s="3">
        <v>599</v>
      </c>
      <c r="E276" s="2" t="str">
        <f>"MARIA EUGENIA SACCO"</f>
        <v>MARIA EUGENIA SACCO</v>
      </c>
    </row>
    <row r="277" spans="1:5" hidden="1" x14ac:dyDescent="0.2">
      <c r="A277" s="2" t="str">
        <f t="shared" si="11"/>
        <v>15</v>
      </c>
      <c r="B277" s="2" t="str">
        <f>"Assistente Social"</f>
        <v>Assistente Social</v>
      </c>
      <c r="C277" s="2" t="str">
        <f>"Secretaria - Conservatorio"</f>
        <v>Secretaria - Conservatorio</v>
      </c>
      <c r="D277" s="3">
        <v>35095</v>
      </c>
      <c r="E277" s="2" t="str">
        <f>"MARIA JOSE DE ARRUDA BELAZ"</f>
        <v>MARIA JOSE DE ARRUDA BELAZ</v>
      </c>
    </row>
    <row r="278" spans="1:5" hidden="1" x14ac:dyDescent="0.2">
      <c r="A278" s="2" t="str">
        <f t="shared" si="11"/>
        <v>15</v>
      </c>
      <c r="B278" s="2" t="str">
        <f>"Ajudante em Serviços Gerais"</f>
        <v>Ajudante em Serviços Gerais</v>
      </c>
      <c r="C278" s="2" t="str">
        <f>"Infraestrutura - Conservatório"</f>
        <v>Infraestrutura - Conservatório</v>
      </c>
      <c r="D278" s="3">
        <v>391</v>
      </c>
      <c r="E278" s="2" t="str">
        <f>"MARIA LUCIA DE MOURA OLIVEIRA"</f>
        <v>MARIA LUCIA DE MOURA OLIVEIRA</v>
      </c>
    </row>
    <row r="279" spans="1:5" hidden="1" x14ac:dyDescent="0.2">
      <c r="A279" s="2" t="str">
        <f t="shared" si="11"/>
        <v>15</v>
      </c>
      <c r="B279" s="2" t="str">
        <f>"Professor(a) de Música"</f>
        <v>Professor(a) de Música</v>
      </c>
      <c r="C279" s="2" t="str">
        <f>"Musicalização Infantil"</f>
        <v>Musicalização Infantil</v>
      </c>
      <c r="D279" s="3">
        <v>35072</v>
      </c>
      <c r="E279" s="2" t="str">
        <f>"MARIANA VIRGILLI"</f>
        <v>MARIANA VIRGILLI</v>
      </c>
    </row>
    <row r="280" spans="1:5" hidden="1" x14ac:dyDescent="0.2">
      <c r="A280" s="2" t="str">
        <f t="shared" si="11"/>
        <v>15</v>
      </c>
      <c r="B280" s="2" t="str">
        <f>"Professor(a) de Música"</f>
        <v>Professor(a) de Música</v>
      </c>
      <c r="C280" s="2" t="str">
        <f>"Unidade 2"</f>
        <v>Unidade 2</v>
      </c>
      <c r="D280" s="3">
        <v>636</v>
      </c>
      <c r="E280" s="2" t="str">
        <f>"MARILANE BOUSQUET BARBOSA"</f>
        <v>MARILANE BOUSQUET BARBOSA</v>
      </c>
    </row>
    <row r="281" spans="1:5" hidden="1" x14ac:dyDescent="0.2">
      <c r="A281" s="2" t="str">
        <f t="shared" si="11"/>
        <v>15</v>
      </c>
      <c r="B281" s="2" t="str">
        <f>"Professor(a) de Música"</f>
        <v>Professor(a) de Música</v>
      </c>
      <c r="C281" s="2" t="str">
        <f>"Conservatorio"</f>
        <v>Conservatorio</v>
      </c>
      <c r="D281" s="3">
        <v>520</v>
      </c>
      <c r="E281" s="2" t="str">
        <f>"MARINA APARECIDA DE CAMARGO CAMPOS"</f>
        <v>MARINA APARECIDA DE CAMARGO CAMPOS</v>
      </c>
    </row>
    <row r="282" spans="1:5" hidden="1" x14ac:dyDescent="0.2">
      <c r="A282" s="2" t="str">
        <f t="shared" si="11"/>
        <v>15</v>
      </c>
      <c r="B282" s="2" t="str">
        <f>"Ajudante em Serviços Gerais"</f>
        <v>Ajudante em Serviços Gerais</v>
      </c>
      <c r="C282" s="2" t="str">
        <f>"Infraestrutura - Conservatório"</f>
        <v>Infraestrutura - Conservatório</v>
      </c>
      <c r="D282" s="3">
        <v>395</v>
      </c>
      <c r="E282" s="2" t="str">
        <f>"MARLISE DA SILVA TELLES"</f>
        <v>MARLISE DA SILVA TELLES</v>
      </c>
    </row>
    <row r="283" spans="1:5" hidden="1" x14ac:dyDescent="0.2">
      <c r="A283" s="2" t="str">
        <f t="shared" si="11"/>
        <v>15</v>
      </c>
      <c r="B283" s="2" t="str">
        <f>"Assistente de Logistica"</f>
        <v>Assistente de Logistica</v>
      </c>
      <c r="C283" s="2" t="str">
        <f>"Adm - Contabilidade"</f>
        <v>Adm - Contabilidade</v>
      </c>
      <c r="D283" s="3">
        <v>34941</v>
      </c>
      <c r="E283" s="2" t="str">
        <f>"MATEUS WILIAN BORGES VIEIRA"</f>
        <v>MATEUS WILIAN BORGES VIEIRA</v>
      </c>
    </row>
    <row r="284" spans="1:5" hidden="1" x14ac:dyDescent="0.2">
      <c r="A284" s="2" t="str">
        <f t="shared" si="11"/>
        <v>15</v>
      </c>
      <c r="B284" s="2" t="str">
        <f>"Inspetor(a) Escolar"</f>
        <v>Inspetor(a) Escolar</v>
      </c>
      <c r="C284" s="2" t="str">
        <f>"Secretaria - Conservatorio"</f>
        <v>Secretaria - Conservatorio</v>
      </c>
      <c r="D284" s="3">
        <v>35101</v>
      </c>
      <c r="E284" s="2" t="str">
        <f>"MATHEUS TELLES RAMOS"</f>
        <v>MATHEUS TELLES RAMOS</v>
      </c>
    </row>
    <row r="285" spans="1:5" hidden="1" x14ac:dyDescent="0.2">
      <c r="A285" s="2" t="str">
        <f t="shared" si="11"/>
        <v>15</v>
      </c>
      <c r="B285" s="2" t="str">
        <f>"Professor(a) de Música"</f>
        <v>Professor(a) de Música</v>
      </c>
      <c r="C285" s="2" t="str">
        <f>"Conservatorio"</f>
        <v>Conservatorio</v>
      </c>
      <c r="D285" s="3">
        <v>549</v>
      </c>
      <c r="E285" s="2" t="str">
        <f>"MAX EDUARDO FERREIRA"</f>
        <v>MAX EDUARDO FERREIRA</v>
      </c>
    </row>
    <row r="286" spans="1:5" hidden="1" x14ac:dyDescent="0.2">
      <c r="A286" s="2" t="str">
        <f t="shared" si="11"/>
        <v>15</v>
      </c>
      <c r="B286" s="2" t="str">
        <f>"Professor(a) de Música"</f>
        <v>Professor(a) de Música</v>
      </c>
      <c r="C286" s="2" t="str">
        <f>"Conservatorio"</f>
        <v>Conservatorio</v>
      </c>
      <c r="D286" s="3">
        <v>483</v>
      </c>
      <c r="E286" s="2" t="str">
        <f>"MILENA LEME LOPES SPARRAPAN"</f>
        <v>MILENA LEME LOPES SPARRAPAN</v>
      </c>
    </row>
    <row r="287" spans="1:5" hidden="1" x14ac:dyDescent="0.2">
      <c r="A287" s="2" t="str">
        <f t="shared" si="11"/>
        <v>15</v>
      </c>
      <c r="B287" s="2" t="str">
        <f>"Professor(a) de Música"</f>
        <v>Professor(a) de Música</v>
      </c>
      <c r="C287" s="2" t="str">
        <f>"Conservatorio"</f>
        <v>Conservatorio</v>
      </c>
      <c r="D287" s="3">
        <v>508</v>
      </c>
      <c r="E287" s="2" t="str">
        <f>"MIRIAM BRAGA GUIMARAES HEIMANN PAIS"</f>
        <v>MIRIAM BRAGA GUIMARAES HEIMANN PAIS</v>
      </c>
    </row>
    <row r="288" spans="1:5" hidden="1" x14ac:dyDescent="0.2">
      <c r="A288" s="2" t="str">
        <f t="shared" si="11"/>
        <v>15</v>
      </c>
      <c r="B288" s="2" t="str">
        <f>"Professor(a) de Música"</f>
        <v>Professor(a) de Música</v>
      </c>
      <c r="C288" s="2" t="str">
        <f>"Musicalização Infantil"</f>
        <v>Musicalização Infantil</v>
      </c>
      <c r="D288" s="3">
        <v>515</v>
      </c>
      <c r="E288" s="2" t="str">
        <f>"MIRIAM GONCALVES DINIZ FERREIRA"</f>
        <v>MIRIAM GONCALVES DINIZ FERREIRA</v>
      </c>
    </row>
    <row r="289" spans="1:5" hidden="1" x14ac:dyDescent="0.2">
      <c r="A289" s="2" t="str">
        <f t="shared" si="11"/>
        <v>15</v>
      </c>
      <c r="B289" s="2" t="str">
        <f>"Professor(a) de Música"</f>
        <v>Professor(a) de Música</v>
      </c>
      <c r="C289" s="2" t="str">
        <f>"Unidade 2"</f>
        <v>Unidade 2</v>
      </c>
      <c r="D289" s="3">
        <v>473</v>
      </c>
      <c r="E289" s="2" t="str">
        <f>"MIRTES EMILIA LOMBA PAES"</f>
        <v>MIRTES EMILIA LOMBA PAES</v>
      </c>
    </row>
    <row r="290" spans="1:5" hidden="1" x14ac:dyDescent="0.2">
      <c r="A290" s="2" t="str">
        <f t="shared" si="11"/>
        <v>15</v>
      </c>
      <c r="B290" s="2" t="str">
        <f>"Atendente"</f>
        <v>Atendente</v>
      </c>
      <c r="C290" s="2" t="str">
        <f>"Secretaria - Conservatorio"</f>
        <v>Secretaria - Conservatorio</v>
      </c>
      <c r="D290" s="3">
        <v>364</v>
      </c>
      <c r="E290" s="2" t="str">
        <f>"MIUCA MIRANDA VIEIRA"</f>
        <v>MIUCA MIRANDA VIEIRA</v>
      </c>
    </row>
    <row r="291" spans="1:5" hidden="1" x14ac:dyDescent="0.2">
      <c r="A291" s="2" t="str">
        <f t="shared" si="11"/>
        <v>15</v>
      </c>
      <c r="B291" s="2" t="str">
        <f>"Professor(a) de Música"</f>
        <v>Professor(a) de Música</v>
      </c>
      <c r="C291" s="2" t="str">
        <f>"Unidade 2"</f>
        <v>Unidade 2</v>
      </c>
      <c r="D291" s="3">
        <v>616</v>
      </c>
      <c r="E291" s="2" t="str">
        <f>"MOACIR JOSE DONDELLI PAULILLO"</f>
        <v>MOACIR JOSE DONDELLI PAULILLO</v>
      </c>
    </row>
    <row r="292" spans="1:5" hidden="1" x14ac:dyDescent="0.2">
      <c r="A292" s="2" t="str">
        <f t="shared" si="11"/>
        <v>15</v>
      </c>
      <c r="B292" s="2" t="str">
        <f>"Professor(a) de Música"</f>
        <v>Professor(a) de Música</v>
      </c>
      <c r="C292" s="2" t="str">
        <f>"Teatro"</f>
        <v>Teatro</v>
      </c>
      <c r="D292" s="3">
        <v>443</v>
      </c>
      <c r="E292" s="2" t="str">
        <f>"MOISES LAUTON DE AZEVEDO"</f>
        <v>MOISES LAUTON DE AZEVEDO</v>
      </c>
    </row>
    <row r="293" spans="1:5" hidden="1" x14ac:dyDescent="0.2">
      <c r="A293" s="2" t="str">
        <f t="shared" si="11"/>
        <v>15</v>
      </c>
      <c r="B293" s="2" t="str">
        <f>"Bibliotecária"</f>
        <v>Bibliotecária</v>
      </c>
      <c r="C293" s="2" t="str">
        <f>"Secretaria - Conservatorio"</f>
        <v>Secretaria - Conservatorio</v>
      </c>
      <c r="D293" s="3">
        <v>487</v>
      </c>
      <c r="E293" s="2" t="str">
        <f>"MONICA ARANHA"</f>
        <v>MONICA ARANHA</v>
      </c>
    </row>
    <row r="294" spans="1:5" hidden="1" x14ac:dyDescent="0.2">
      <c r="A294" s="2" t="str">
        <f t="shared" si="11"/>
        <v>15</v>
      </c>
      <c r="B294" s="2" t="str">
        <f>"Coordenador Administrativo"</f>
        <v>Coordenador Administrativo</v>
      </c>
      <c r="C294" s="2" t="str">
        <f>"Gerencia Geral"</f>
        <v>Gerencia Geral</v>
      </c>
      <c r="D294" s="3">
        <v>365</v>
      </c>
      <c r="E294" s="2" t="str">
        <f>"NATALIA LORENZETTI SOARES"</f>
        <v>NATALIA LORENZETTI SOARES</v>
      </c>
    </row>
    <row r="295" spans="1:5" hidden="1" x14ac:dyDescent="0.2">
      <c r="A295" s="2" t="str">
        <f t="shared" si="11"/>
        <v>15</v>
      </c>
      <c r="B295" s="2" t="str">
        <f>"Professor(a) de Música"</f>
        <v>Professor(a) de Música</v>
      </c>
      <c r="C295" s="2" t="str">
        <f>"Polo Sao Jose do Rio Pardo"</f>
        <v>Polo Sao Jose do Rio Pardo</v>
      </c>
      <c r="D295" s="3">
        <v>593</v>
      </c>
      <c r="E295" s="2" t="str">
        <f>"OTAVIO AFONSO QUARTIER COSTA"</f>
        <v>OTAVIO AFONSO QUARTIER COSTA</v>
      </c>
    </row>
    <row r="296" spans="1:5" hidden="1" x14ac:dyDescent="0.2">
      <c r="A296" s="2" t="str">
        <f t="shared" si="11"/>
        <v>15</v>
      </c>
      <c r="B296" s="2" t="str">
        <f>"Professor(a) de Música"</f>
        <v>Professor(a) de Música</v>
      </c>
      <c r="C296" s="2" t="str">
        <f>"Conservatorio"</f>
        <v>Conservatorio</v>
      </c>
      <c r="D296" s="3">
        <v>547</v>
      </c>
      <c r="E296" s="2" t="str">
        <f>"OTAVIO FERNANDO DE ALMEIDA BLOES"</f>
        <v>OTAVIO FERNANDO DE ALMEIDA BLOES</v>
      </c>
    </row>
    <row r="297" spans="1:5" hidden="1" x14ac:dyDescent="0.2">
      <c r="A297" s="2" t="str">
        <f t="shared" si="11"/>
        <v>15</v>
      </c>
      <c r="B297" s="2" t="str">
        <f>"Auxiliar Compras"</f>
        <v>Auxiliar Compras</v>
      </c>
      <c r="C297" s="2" t="str">
        <f>"Adm - Compras"</f>
        <v>Adm - Compras</v>
      </c>
      <c r="D297" s="3">
        <v>380</v>
      </c>
      <c r="E297" s="2" t="str">
        <f>"PATRICIA ALVES DE CASTRO MARTINS"</f>
        <v>PATRICIA ALVES DE CASTRO MARTINS</v>
      </c>
    </row>
    <row r="298" spans="1:5" hidden="1" x14ac:dyDescent="0.2">
      <c r="A298" s="2" t="str">
        <f t="shared" si="11"/>
        <v>15</v>
      </c>
      <c r="B298" s="2" t="str">
        <f>"Professor(a) de Música"</f>
        <v>Professor(a) de Música</v>
      </c>
      <c r="C298" s="2" t="str">
        <f>"Musicalização Infantil"</f>
        <v>Musicalização Infantil</v>
      </c>
      <c r="D298" s="3">
        <v>512</v>
      </c>
      <c r="E298" s="2" t="str">
        <f>"PATRICIA VIEIRA DE MORAES"</f>
        <v>PATRICIA VIEIRA DE MORAES</v>
      </c>
    </row>
    <row r="299" spans="1:5" hidden="1" x14ac:dyDescent="0.2">
      <c r="A299" s="2" t="str">
        <f t="shared" si="11"/>
        <v>15</v>
      </c>
      <c r="B299" s="2" t="str">
        <f>"Professor(a) de Música"</f>
        <v>Professor(a) de Música</v>
      </c>
      <c r="C299" s="2" t="str">
        <f>"Conservatorio"</f>
        <v>Conservatorio</v>
      </c>
      <c r="D299" s="3">
        <v>603</v>
      </c>
      <c r="E299" s="2" t="str">
        <f>"PAULO AFONSO ESTANISLAU"</f>
        <v>PAULO AFONSO ESTANISLAU</v>
      </c>
    </row>
    <row r="300" spans="1:5" hidden="1" x14ac:dyDescent="0.2">
      <c r="A300" s="2" t="str">
        <f t="shared" si="11"/>
        <v>15</v>
      </c>
      <c r="B300" s="2" t="str">
        <f>"Professor(a) de Música"</f>
        <v>Professor(a) de Música</v>
      </c>
      <c r="C300" s="2" t="str">
        <f>"Conservatorio"</f>
        <v>Conservatorio</v>
      </c>
      <c r="D300" s="3">
        <v>561</v>
      </c>
      <c r="E300" s="2" t="str">
        <f>"PAULO CESAR SIGNORI"</f>
        <v>PAULO CESAR SIGNORI</v>
      </c>
    </row>
    <row r="301" spans="1:5" hidden="1" x14ac:dyDescent="0.2">
      <c r="A301" s="2" t="str">
        <f t="shared" si="11"/>
        <v>15</v>
      </c>
      <c r="B301" s="2" t="str">
        <f>"Assessor(a) Executivo(a)"</f>
        <v>Assessor(a) Executivo(a)</v>
      </c>
      <c r="C301" s="2" t="str">
        <f>"Conservatorio"</f>
        <v>Conservatorio</v>
      </c>
      <c r="D301" s="3">
        <v>360</v>
      </c>
      <c r="E301" s="2" t="str">
        <f>"PEDRO AURELIO PERSONE"</f>
        <v>PEDRO AURELIO PERSONE</v>
      </c>
    </row>
    <row r="302" spans="1:5" hidden="1" x14ac:dyDescent="0.2">
      <c r="A302" s="2" t="str">
        <f t="shared" si="11"/>
        <v>15</v>
      </c>
      <c r="B302" s="2" t="str">
        <f>"Professor(a) de Música"</f>
        <v>Professor(a) de Música</v>
      </c>
      <c r="C302" s="2" t="str">
        <f>"Conservatorio"</f>
        <v>Conservatorio</v>
      </c>
      <c r="D302" s="3">
        <v>552</v>
      </c>
      <c r="E302" s="2" t="str">
        <f>"RAFAEL DA SILVA PELAES"</f>
        <v>RAFAEL DA SILVA PELAES</v>
      </c>
    </row>
    <row r="303" spans="1:5" hidden="1" x14ac:dyDescent="0.2">
      <c r="A303" s="2" t="str">
        <f t="shared" si="11"/>
        <v>15</v>
      </c>
      <c r="B303" s="2" t="str">
        <f>"Professor(a) de Música"</f>
        <v>Professor(a) de Música</v>
      </c>
      <c r="C303" s="2" t="str">
        <f>"Conservatorio"</f>
        <v>Conservatorio</v>
      </c>
      <c r="D303" s="3">
        <v>550</v>
      </c>
      <c r="E303" s="2" t="str">
        <f>"RAFAEL FELIX MIGLIANI"</f>
        <v>RAFAEL FELIX MIGLIANI</v>
      </c>
    </row>
    <row r="304" spans="1:5" hidden="1" x14ac:dyDescent="0.2">
      <c r="A304" s="2" t="str">
        <f t="shared" si="11"/>
        <v>15</v>
      </c>
      <c r="B304" s="2" t="str">
        <f>"Montador"</f>
        <v>Montador</v>
      </c>
      <c r="C304" s="2" t="str">
        <f>"Produção e Eventos"</f>
        <v>Produção e Eventos</v>
      </c>
      <c r="D304" s="3">
        <v>381</v>
      </c>
      <c r="E304" s="2" t="str">
        <f>"RAFAEL MASCARENHAS DE MORAES"</f>
        <v>RAFAEL MASCARENHAS DE MORAES</v>
      </c>
    </row>
    <row r="305" spans="1:5" hidden="1" x14ac:dyDescent="0.2">
      <c r="A305" s="2" t="str">
        <f t="shared" si="11"/>
        <v>15</v>
      </c>
      <c r="B305" s="2" t="str">
        <f>"Professor(a) de Música"</f>
        <v>Professor(a) de Música</v>
      </c>
      <c r="C305" s="2" t="str">
        <f>"Unidade 2"</f>
        <v>Unidade 2</v>
      </c>
      <c r="D305" s="3">
        <v>666</v>
      </c>
      <c r="E305" s="2" t="str">
        <f>"RAFAEL PIRES DA SILVA"</f>
        <v>RAFAEL PIRES DA SILVA</v>
      </c>
    </row>
    <row r="306" spans="1:5" hidden="1" x14ac:dyDescent="0.2">
      <c r="A306" s="2" t="str">
        <f t="shared" si="11"/>
        <v>15</v>
      </c>
      <c r="B306" s="2" t="str">
        <f>"Porteiro"</f>
        <v>Porteiro</v>
      </c>
      <c r="C306" s="2" t="str">
        <f>"Portaria"</f>
        <v>Portaria</v>
      </c>
      <c r="D306" s="3">
        <v>35028</v>
      </c>
      <c r="E306" s="2" t="str">
        <f>"RAPHAEL BUENO MARQUES"</f>
        <v>RAPHAEL BUENO MARQUES</v>
      </c>
    </row>
    <row r="307" spans="1:5" hidden="1" x14ac:dyDescent="0.2">
      <c r="A307" s="2" t="str">
        <f t="shared" si="11"/>
        <v>15</v>
      </c>
      <c r="B307" s="2" t="str">
        <f>"Professor(a) de Música"</f>
        <v>Professor(a) de Música</v>
      </c>
      <c r="C307" s="2" t="str">
        <f>"Unidade 2"</f>
        <v>Unidade 2</v>
      </c>
      <c r="D307" s="3">
        <v>661</v>
      </c>
      <c r="E307" s="2" t="str">
        <f>"RAYMUNDO FRANCANI JUNIOR"</f>
        <v>RAYMUNDO FRANCANI JUNIOR</v>
      </c>
    </row>
    <row r="308" spans="1:5" hidden="1" x14ac:dyDescent="0.2">
      <c r="A308" s="2" t="str">
        <f t="shared" si="11"/>
        <v>15</v>
      </c>
      <c r="B308" s="2" t="str">
        <f>"Montador"</f>
        <v>Montador</v>
      </c>
      <c r="C308" s="2" t="str">
        <f>"Produção e Eventos"</f>
        <v>Produção e Eventos</v>
      </c>
      <c r="D308" s="3">
        <v>405</v>
      </c>
      <c r="E308" s="2" t="str">
        <f>"REGINALDO PRESTES"</f>
        <v>REGINALDO PRESTES</v>
      </c>
    </row>
    <row r="309" spans="1:5" hidden="1" x14ac:dyDescent="0.2">
      <c r="A309" s="2" t="str">
        <f t="shared" si="11"/>
        <v>15</v>
      </c>
      <c r="B309" s="2" t="str">
        <f>"Produtor de Eventos JR"</f>
        <v>Produtor de Eventos JR</v>
      </c>
      <c r="C309" s="2" t="str">
        <f>"Produção e Eventos"</f>
        <v>Produção e Eventos</v>
      </c>
      <c r="D309" s="3">
        <v>35030</v>
      </c>
      <c r="E309" s="2" t="str">
        <f>"RENATA BRUGNEROTTO"</f>
        <v>RENATA BRUGNEROTTO</v>
      </c>
    </row>
    <row r="310" spans="1:5" hidden="1" x14ac:dyDescent="0.2">
      <c r="A310" s="2" t="str">
        <f t="shared" si="11"/>
        <v>15</v>
      </c>
      <c r="B310" s="2" t="str">
        <f>"Gerente Artístico I"</f>
        <v>Gerente Artístico I</v>
      </c>
      <c r="C310" s="2" t="str">
        <f>"Produção e Eventos"</f>
        <v>Produção e Eventos</v>
      </c>
      <c r="D310" s="3">
        <v>685</v>
      </c>
      <c r="E310" s="2" t="str">
        <f>"RENATO FRANCA BANDEL"</f>
        <v>RENATO FRANCA BANDEL</v>
      </c>
    </row>
    <row r="311" spans="1:5" hidden="1" x14ac:dyDescent="0.2">
      <c r="A311" s="2" t="str">
        <f t="shared" si="11"/>
        <v>15</v>
      </c>
      <c r="B311" s="2" t="str">
        <f>"Professor(a) de Artes Cênicas"</f>
        <v>Professor(a) de Artes Cênicas</v>
      </c>
      <c r="C311" s="2" t="str">
        <f>"Artes Cenicas"</f>
        <v>Artes Cenicas</v>
      </c>
      <c r="D311" s="3">
        <v>35062</v>
      </c>
      <c r="E311" s="2" t="str">
        <f>"RENER OLIVEIRA DE JESUS"</f>
        <v>RENER OLIVEIRA DE JESUS</v>
      </c>
    </row>
    <row r="312" spans="1:5" hidden="1" x14ac:dyDescent="0.2">
      <c r="A312" s="2" t="str">
        <f t="shared" si="11"/>
        <v>15</v>
      </c>
      <c r="B312" s="2" t="str">
        <f>"Porteiro (12x36)"</f>
        <v>Porteiro (12x36)</v>
      </c>
      <c r="C312" s="2" t="str">
        <f>"Portaria"</f>
        <v>Portaria</v>
      </c>
      <c r="D312" s="3">
        <v>373</v>
      </c>
      <c r="E312" s="2" t="str">
        <f>"RICARDO ADRIANO GARCIA"</f>
        <v>RICARDO ADRIANO GARCIA</v>
      </c>
    </row>
    <row r="313" spans="1:5" hidden="1" x14ac:dyDescent="0.2">
      <c r="A313" s="2" t="str">
        <f t="shared" si="11"/>
        <v>15</v>
      </c>
      <c r="B313" s="2" t="str">
        <f>"Professor(a) de Música"</f>
        <v>Professor(a) de Música</v>
      </c>
      <c r="C313" s="2" t="str">
        <f>"Conservatorio"</f>
        <v>Conservatorio</v>
      </c>
      <c r="D313" s="3">
        <v>539</v>
      </c>
      <c r="E313" s="2" t="str">
        <f>"RICARDO AURELIO DE OLIVEIRA"</f>
        <v>RICARDO AURELIO DE OLIVEIRA</v>
      </c>
    </row>
    <row r="314" spans="1:5" hidden="1" x14ac:dyDescent="0.2">
      <c r="A314" s="2" t="str">
        <f t="shared" si="11"/>
        <v>15</v>
      </c>
      <c r="B314" s="2" t="str">
        <f>"Professor(a) de Música"</f>
        <v>Professor(a) de Música</v>
      </c>
      <c r="C314" s="2" t="str">
        <f>"Teatro"</f>
        <v>Teatro</v>
      </c>
      <c r="D314" s="3">
        <v>453</v>
      </c>
      <c r="E314" s="2" t="str">
        <f>"RICARDO DE SOUZA FRANCISCO"</f>
        <v>RICARDO DE SOUZA FRANCISCO</v>
      </c>
    </row>
    <row r="315" spans="1:5" hidden="1" x14ac:dyDescent="0.2">
      <c r="A315" s="2" t="str">
        <f t="shared" si="11"/>
        <v>15</v>
      </c>
      <c r="B315" s="2" t="str">
        <f>"Professor(a) de Música"</f>
        <v>Professor(a) de Música</v>
      </c>
      <c r="C315" s="2" t="str">
        <f>"Unidade 2"</f>
        <v>Unidade 2</v>
      </c>
      <c r="D315" s="3">
        <v>631</v>
      </c>
      <c r="E315" s="2" t="str">
        <f>"RICARDO DONIZETI GRION"</f>
        <v>RICARDO DONIZETI GRION</v>
      </c>
    </row>
    <row r="316" spans="1:5" hidden="1" x14ac:dyDescent="0.2">
      <c r="A316" s="2" t="str">
        <f t="shared" si="11"/>
        <v>15</v>
      </c>
      <c r="B316" s="2" t="str">
        <f>"Assistente Produção Eventos"</f>
        <v>Assistente Produção Eventos</v>
      </c>
      <c r="C316" s="2" t="str">
        <f>"Produção e Eventos"</f>
        <v>Produção e Eventos</v>
      </c>
      <c r="D316" s="3">
        <v>35096</v>
      </c>
      <c r="E316" s="2" t="str">
        <f>"ROBERTO FELIPE FRANCO DE OLIVEIRA"</f>
        <v>ROBERTO FELIPE FRANCO DE OLIVEIRA</v>
      </c>
    </row>
    <row r="317" spans="1:5" hidden="1" x14ac:dyDescent="0.2">
      <c r="A317" s="2" t="str">
        <f t="shared" si="11"/>
        <v>15</v>
      </c>
      <c r="B317" s="2" t="str">
        <f>"Professor(a) de Música"</f>
        <v>Professor(a) de Música</v>
      </c>
      <c r="C317" s="2" t="str">
        <f>"Teatro"</f>
        <v>Teatro</v>
      </c>
      <c r="D317" s="3">
        <v>460</v>
      </c>
      <c r="E317" s="2" t="str">
        <f>"ROBSON ROGERIO DE MORAES"</f>
        <v>ROBSON ROGERIO DE MORAES</v>
      </c>
    </row>
    <row r="318" spans="1:5" hidden="1" x14ac:dyDescent="0.2">
      <c r="A318" s="2" t="str">
        <f t="shared" si="11"/>
        <v>15</v>
      </c>
      <c r="B318" s="2" t="str">
        <f>"Professor(a) de Música"</f>
        <v>Professor(a) de Música</v>
      </c>
      <c r="C318" s="2" t="str">
        <f>"Conservatorio"</f>
        <v>Conservatorio</v>
      </c>
      <c r="D318" s="3">
        <v>568</v>
      </c>
      <c r="E318" s="2" t="str">
        <f>"RODRIGO BRAZ DOS SANTOS"</f>
        <v>RODRIGO BRAZ DOS SANTOS</v>
      </c>
    </row>
    <row r="319" spans="1:5" hidden="1" x14ac:dyDescent="0.2">
      <c r="A319" s="2" t="str">
        <f t="shared" si="11"/>
        <v>15</v>
      </c>
      <c r="B319" s="2" t="str">
        <f>"Professor(a) de Música"</f>
        <v>Professor(a) de Música</v>
      </c>
      <c r="C319" s="2" t="str">
        <f>"Conservatorio"</f>
        <v>Conservatorio</v>
      </c>
      <c r="D319" s="3">
        <v>607</v>
      </c>
      <c r="E319" s="2" t="str">
        <f>"RODRIGO CAMPOS MOURA"</f>
        <v>RODRIGO CAMPOS MOURA</v>
      </c>
    </row>
    <row r="320" spans="1:5" hidden="1" x14ac:dyDescent="0.2">
      <c r="A320" s="2" t="str">
        <f t="shared" si="11"/>
        <v>15</v>
      </c>
      <c r="B320" s="2" t="str">
        <f>"Professor(a) de Música"</f>
        <v>Professor(a) de Música</v>
      </c>
      <c r="C320" s="2" t="str">
        <f>"Polo Sao Jose do Rio Pardo"</f>
        <v>Polo Sao Jose do Rio Pardo</v>
      </c>
      <c r="D320" s="3">
        <v>589</v>
      </c>
      <c r="E320" s="2" t="str">
        <f>"RODRIGO DE ARAGAO GIANESSI"</f>
        <v>RODRIGO DE ARAGAO GIANESSI</v>
      </c>
    </row>
    <row r="321" spans="1:5" hidden="1" x14ac:dyDescent="0.2">
      <c r="A321" s="2" t="str">
        <f t="shared" si="11"/>
        <v>15</v>
      </c>
      <c r="B321" s="2" t="str">
        <f>"Assistente de Secretaria"</f>
        <v>Assistente de Secretaria</v>
      </c>
      <c r="C321" s="2" t="str">
        <f>"Secretaria - Conservatorio"</f>
        <v>Secretaria - Conservatorio</v>
      </c>
      <c r="D321" s="3">
        <v>35104</v>
      </c>
      <c r="E321" s="2" t="str">
        <f>"RODRIGO JUNQUEIRA"</f>
        <v>RODRIGO JUNQUEIRA</v>
      </c>
    </row>
    <row r="322" spans="1:5" hidden="1" x14ac:dyDescent="0.2">
      <c r="A322" s="2" t="str">
        <f t="shared" si="11"/>
        <v>15</v>
      </c>
      <c r="B322" s="2" t="str">
        <f>"Professor(a) de Música"</f>
        <v>Professor(a) de Música</v>
      </c>
      <c r="C322" s="2" t="str">
        <f>"Conservatorio"</f>
        <v>Conservatorio</v>
      </c>
      <c r="D322" s="3">
        <v>575</v>
      </c>
      <c r="E322" s="2" t="str">
        <f>"RODRIGO MARINONIO"</f>
        <v>RODRIGO MARINONIO</v>
      </c>
    </row>
    <row r="323" spans="1:5" hidden="1" x14ac:dyDescent="0.2">
      <c r="A323" s="2" t="str">
        <f t="shared" si="11"/>
        <v>15</v>
      </c>
      <c r="B323" s="2" t="str">
        <f>"Analista Financeiro PL"</f>
        <v>Analista Financeiro PL</v>
      </c>
      <c r="C323" s="2" t="str">
        <f>"Adm - Financeiro"</f>
        <v>Adm - Financeiro</v>
      </c>
      <c r="D323" s="3">
        <v>33792</v>
      </c>
      <c r="E323" s="2" t="str">
        <f>"RODRIGO SILVA DOS SANTOS"</f>
        <v>RODRIGO SILVA DOS SANTOS</v>
      </c>
    </row>
    <row r="324" spans="1:5" hidden="1" x14ac:dyDescent="0.2">
      <c r="A324" s="2" t="str">
        <f t="shared" si="11"/>
        <v>15</v>
      </c>
      <c r="B324" s="2" t="str">
        <f>"Gerente de Comunicação"</f>
        <v>Gerente de Comunicação</v>
      </c>
      <c r="C324" s="2" t="str">
        <f>"Gerencia Geral"</f>
        <v>Gerencia Geral</v>
      </c>
      <c r="D324" s="3">
        <v>350</v>
      </c>
      <c r="E324" s="2" t="str">
        <f>"SABRINA LOPES DE MAGALHAES"</f>
        <v>SABRINA LOPES DE MAGALHAES</v>
      </c>
    </row>
    <row r="325" spans="1:5" hidden="1" x14ac:dyDescent="0.2">
      <c r="A325" s="2" t="str">
        <f t="shared" si="11"/>
        <v>15</v>
      </c>
      <c r="B325" s="2" t="str">
        <f>"Assistente Produção Eventos"</f>
        <v>Assistente Produção Eventos</v>
      </c>
      <c r="C325" s="2" t="str">
        <f>"Produção e Eventos"</f>
        <v>Produção e Eventos</v>
      </c>
      <c r="D325" s="3">
        <v>407</v>
      </c>
      <c r="E325" s="2" t="str">
        <f>"SAMUEL BRUNO DE MORAIS"</f>
        <v>SAMUEL BRUNO DE MORAIS</v>
      </c>
    </row>
    <row r="326" spans="1:5" hidden="1" x14ac:dyDescent="0.2">
      <c r="A326" s="2" t="str">
        <f t="shared" si="11"/>
        <v>15</v>
      </c>
      <c r="B326" s="2" t="str">
        <f>"Professor(a) de Música"</f>
        <v>Professor(a) de Música</v>
      </c>
      <c r="C326" s="2" t="str">
        <f>"Unidade 2"</f>
        <v>Unidade 2</v>
      </c>
      <c r="D326" s="3">
        <v>474</v>
      </c>
      <c r="E326" s="2" t="str">
        <f>"SANDRO PIRES DA SILVA"</f>
        <v>SANDRO PIRES DA SILVA</v>
      </c>
    </row>
    <row r="327" spans="1:5" hidden="1" x14ac:dyDescent="0.2">
      <c r="A327" s="2" t="str">
        <f t="shared" si="11"/>
        <v>15</v>
      </c>
      <c r="B327" s="2" t="str">
        <f>"Professor(a) de Música"</f>
        <v>Professor(a) de Música</v>
      </c>
      <c r="C327" s="2" t="str">
        <f>"Unidade 2"</f>
        <v>Unidade 2</v>
      </c>
      <c r="D327" s="3">
        <v>598</v>
      </c>
      <c r="E327" s="2" t="str">
        <f>"SELMA CRISTINA MARTINES MARINO"</f>
        <v>SELMA CRISTINA MARTINES MARINO</v>
      </c>
    </row>
    <row r="328" spans="1:5" hidden="1" x14ac:dyDescent="0.2">
      <c r="A328" s="2" t="str">
        <f t="shared" si="11"/>
        <v>15</v>
      </c>
      <c r="B328" s="2" t="str">
        <f>"Professor(a) de Música"</f>
        <v>Professor(a) de Música</v>
      </c>
      <c r="C328" s="2" t="str">
        <f>"Musicalização Infantil"</f>
        <v>Musicalização Infantil</v>
      </c>
      <c r="D328" s="3">
        <v>510</v>
      </c>
      <c r="E328" s="2" t="str">
        <f>"SILVIA SALLES LEITE LOMBARDI"</f>
        <v>SILVIA SALLES LEITE LOMBARDI</v>
      </c>
    </row>
    <row r="329" spans="1:5" hidden="1" x14ac:dyDescent="0.2">
      <c r="A329" s="2" t="str">
        <f t="shared" si="11"/>
        <v>15</v>
      </c>
      <c r="B329" s="2" t="str">
        <f>"Porteiro"</f>
        <v>Porteiro</v>
      </c>
      <c r="C329" s="2" t="str">
        <f>"Portaria"</f>
        <v>Portaria</v>
      </c>
      <c r="D329" s="3">
        <v>389</v>
      </c>
      <c r="E329" s="2" t="str">
        <f>"SIRLEI APARECIDA DE JESUS"</f>
        <v>SIRLEI APARECIDA DE JESUS</v>
      </c>
    </row>
    <row r="330" spans="1:5" hidden="1" x14ac:dyDescent="0.2">
      <c r="A330" s="2" t="str">
        <f t="shared" si="11"/>
        <v>15</v>
      </c>
      <c r="B330" s="2" t="str">
        <f>"Professor(a) de Música"</f>
        <v>Professor(a) de Música</v>
      </c>
      <c r="C330" s="2" t="str">
        <f>"Unidade 2"</f>
        <v>Unidade 2</v>
      </c>
      <c r="D330" s="3">
        <v>619</v>
      </c>
      <c r="E330" s="2" t="str">
        <f>"SUELI POPPI"</f>
        <v>SUELI POPPI</v>
      </c>
    </row>
    <row r="331" spans="1:5" hidden="1" x14ac:dyDescent="0.2">
      <c r="A331" s="2" t="str">
        <f t="shared" si="11"/>
        <v>15</v>
      </c>
      <c r="B331" s="2" t="str">
        <f>"Professor(a) de Artes Cênicas"</f>
        <v>Professor(a) de Artes Cênicas</v>
      </c>
      <c r="C331" s="2" t="str">
        <f>"Artes Cenicas"</f>
        <v>Artes Cenicas</v>
      </c>
      <c r="D331" s="3">
        <v>35057</v>
      </c>
      <c r="E331" s="2" t="str">
        <f>"TADEU RENATO BOTTON RIBEIRO"</f>
        <v>TADEU RENATO BOTTON RIBEIRO</v>
      </c>
    </row>
    <row r="332" spans="1:5" hidden="1" x14ac:dyDescent="0.2">
      <c r="A332" s="2" t="str">
        <f t="shared" si="11"/>
        <v>15</v>
      </c>
      <c r="B332" s="2" t="str">
        <f>"Professor(a) de Música"</f>
        <v>Professor(a) de Música</v>
      </c>
      <c r="C332" s="2" t="str">
        <f>"Unidade 2"</f>
        <v>Unidade 2</v>
      </c>
      <c r="D332" s="3">
        <v>621</v>
      </c>
      <c r="E332" s="2" t="str">
        <f>"TANIA REGINA TONUS"</f>
        <v>TANIA REGINA TONUS</v>
      </c>
    </row>
    <row r="333" spans="1:5" hidden="1" x14ac:dyDescent="0.2">
      <c r="A333" s="2" t="str">
        <f t="shared" si="11"/>
        <v>15</v>
      </c>
      <c r="B333" s="2" t="str">
        <f>"Professor(a) de Música"</f>
        <v>Professor(a) de Música</v>
      </c>
      <c r="C333" s="2" t="str">
        <f>"Musicalização Infantil"</f>
        <v>Musicalização Infantil</v>
      </c>
      <c r="D333" s="3">
        <v>35063</v>
      </c>
      <c r="E333" s="2" t="str">
        <f>"THADEU ROMANO DE ALMEIDA"</f>
        <v>THADEU ROMANO DE ALMEIDA</v>
      </c>
    </row>
    <row r="334" spans="1:5" hidden="1" x14ac:dyDescent="0.2">
      <c r="A334" s="2" t="str">
        <f t="shared" si="11"/>
        <v>15</v>
      </c>
      <c r="B334" s="2" t="str">
        <f>"Auxiliar Administrativo"</f>
        <v>Auxiliar Administrativo</v>
      </c>
      <c r="C334" s="2" t="str">
        <f>"Alojamento"</f>
        <v>Alojamento</v>
      </c>
      <c r="D334" s="3">
        <v>674</v>
      </c>
      <c r="E334" s="2" t="str">
        <f>"THAIS NESPOLI DA SILVA"</f>
        <v>THAIS NESPOLI DA SILVA</v>
      </c>
    </row>
    <row r="335" spans="1:5" hidden="1" x14ac:dyDescent="0.2">
      <c r="A335" s="2" t="str">
        <f t="shared" si="11"/>
        <v>15</v>
      </c>
      <c r="B335" s="2" t="str">
        <f>"Professor(a) de Artes Cênicas"</f>
        <v>Professor(a) de Artes Cênicas</v>
      </c>
      <c r="C335" s="2" t="str">
        <f>"Artes Cenicas"</f>
        <v>Artes Cenicas</v>
      </c>
      <c r="D335" s="3">
        <v>497</v>
      </c>
      <c r="E335" s="2" t="str">
        <f>"THIAGO DE CASTRO LEITE"</f>
        <v>THIAGO DE CASTRO LEITE</v>
      </c>
    </row>
    <row r="336" spans="1:5" hidden="1" x14ac:dyDescent="0.2">
      <c r="A336" s="2" t="str">
        <f t="shared" ref="A336:A351" si="12">"15"</f>
        <v>15</v>
      </c>
      <c r="B336" s="2" t="str">
        <f>"Professor(a) de Música"</f>
        <v>Professor(a) de Música</v>
      </c>
      <c r="C336" s="2" t="str">
        <f>"Unidade 2"</f>
        <v>Unidade 2</v>
      </c>
      <c r="D336" s="3">
        <v>667</v>
      </c>
      <c r="E336" s="2" t="str">
        <f>"TIAGO JOSE MACHADO DE ALMEIDA"</f>
        <v>TIAGO JOSE MACHADO DE ALMEIDA</v>
      </c>
    </row>
    <row r="337" spans="1:5" hidden="1" x14ac:dyDescent="0.2">
      <c r="A337" s="2" t="str">
        <f t="shared" si="12"/>
        <v>15</v>
      </c>
      <c r="B337" s="2" t="str">
        <f>"Professor(a) de Música"</f>
        <v>Professor(a) de Música</v>
      </c>
      <c r="C337" s="2" t="str">
        <f>"Unidade 2"</f>
        <v>Unidade 2</v>
      </c>
      <c r="D337" s="3">
        <v>668</v>
      </c>
      <c r="E337" s="2" t="str">
        <f>"TULIO PADILHA PIRES"</f>
        <v>TULIO PADILHA PIRES</v>
      </c>
    </row>
    <row r="338" spans="1:5" hidden="1" x14ac:dyDescent="0.2">
      <c r="A338" s="2" t="str">
        <f t="shared" si="12"/>
        <v>15</v>
      </c>
      <c r="B338" s="2" t="str">
        <f>"Auxiliar de Manutenção Geral"</f>
        <v>Auxiliar de Manutenção Geral</v>
      </c>
      <c r="C338" s="2" t="str">
        <f>"Infraestrutura - Conservatório"</f>
        <v>Infraestrutura - Conservatório</v>
      </c>
      <c r="D338" s="3">
        <v>34970</v>
      </c>
      <c r="E338" s="2" t="str">
        <f>"VALDEVINO VITOR DE OLIVEIRA"</f>
        <v>VALDEVINO VITOR DE OLIVEIRA</v>
      </c>
    </row>
    <row r="339" spans="1:5" hidden="1" x14ac:dyDescent="0.2">
      <c r="A339" s="2" t="str">
        <f t="shared" si="12"/>
        <v>15</v>
      </c>
      <c r="B339" s="2" t="str">
        <f>"Professor(a) de Música"</f>
        <v>Professor(a) de Música</v>
      </c>
      <c r="C339" s="2" t="str">
        <f>"Conservatorio"</f>
        <v>Conservatorio</v>
      </c>
      <c r="D339" s="3">
        <v>551</v>
      </c>
      <c r="E339" s="2" t="str">
        <f>"VALQUIRIA DE CAMPOS DA PORCIUNCULA"</f>
        <v>VALQUIRIA DE CAMPOS DA PORCIUNCULA</v>
      </c>
    </row>
    <row r="340" spans="1:5" hidden="1" x14ac:dyDescent="0.2">
      <c r="A340" s="2" t="str">
        <f t="shared" si="12"/>
        <v>15</v>
      </c>
      <c r="B340" s="2" t="str">
        <f>"Assistente de Secretaria II"</f>
        <v>Assistente de Secretaria II</v>
      </c>
      <c r="C340" s="2" t="str">
        <f>"Secretaria - Conservatorio"</f>
        <v>Secretaria - Conservatorio</v>
      </c>
      <c r="D340" s="3">
        <v>490</v>
      </c>
      <c r="E340" s="2" t="str">
        <f>"VANESSA DE SOUZA PENATTE"</f>
        <v>VANESSA DE SOUZA PENATTE</v>
      </c>
    </row>
    <row r="341" spans="1:5" hidden="1" x14ac:dyDescent="0.2">
      <c r="A341" s="2" t="str">
        <f t="shared" si="12"/>
        <v>15</v>
      </c>
      <c r="B341" s="2" t="str">
        <f>"Porteiro (12x36)"</f>
        <v>Porteiro (12x36)</v>
      </c>
      <c r="C341" s="2" t="str">
        <f>"Portaria"</f>
        <v>Portaria</v>
      </c>
      <c r="D341" s="3">
        <v>378</v>
      </c>
      <c r="E341" s="2" t="str">
        <f>"VILMA PAMPLONA"</f>
        <v>VILMA PAMPLONA</v>
      </c>
    </row>
    <row r="342" spans="1:5" hidden="1" x14ac:dyDescent="0.2">
      <c r="A342" s="2" t="str">
        <f t="shared" si="12"/>
        <v>15</v>
      </c>
      <c r="B342" s="2" t="str">
        <f>"Montador"</f>
        <v>Montador</v>
      </c>
      <c r="C342" s="2" t="str">
        <f>"Produção e Eventos"</f>
        <v>Produção e Eventos</v>
      </c>
      <c r="D342" s="3">
        <v>400</v>
      </c>
      <c r="E342" s="2" t="str">
        <f>"VILMAR PEREIRA RIBAS"</f>
        <v>VILMAR PEREIRA RIBAS</v>
      </c>
    </row>
    <row r="343" spans="1:5" hidden="1" x14ac:dyDescent="0.2">
      <c r="A343" s="2" t="str">
        <f t="shared" si="12"/>
        <v>15</v>
      </c>
      <c r="B343" s="2" t="str">
        <f>"Professor(a) de Luteria"</f>
        <v>Professor(a) de Luteria</v>
      </c>
      <c r="C343" s="2" t="str">
        <f>"Unidade 2"</f>
        <v>Unidade 2</v>
      </c>
      <c r="D343" s="3">
        <v>503</v>
      </c>
      <c r="E343" s="2" t="str">
        <f>"VLAMIR DEVANEI RAMOS"</f>
        <v>VLAMIR DEVANEI RAMOS</v>
      </c>
    </row>
    <row r="344" spans="1:5" hidden="1" x14ac:dyDescent="0.2">
      <c r="A344" s="2" t="str">
        <f t="shared" si="12"/>
        <v>15</v>
      </c>
      <c r="B344" s="2" t="str">
        <f>"Professor(a) de Música"</f>
        <v>Professor(a) de Música</v>
      </c>
      <c r="C344" s="2" t="str">
        <f>"Polo Sao Jose do Rio Pardo"</f>
        <v>Polo Sao Jose do Rio Pardo</v>
      </c>
      <c r="D344" s="3">
        <v>583</v>
      </c>
      <c r="E344" s="2" t="str">
        <f>"WAGNER BRACCI"</f>
        <v>WAGNER BRACCI</v>
      </c>
    </row>
    <row r="345" spans="1:5" hidden="1" x14ac:dyDescent="0.2">
      <c r="A345" s="2" t="str">
        <f t="shared" si="12"/>
        <v>15</v>
      </c>
      <c r="B345" s="2" t="str">
        <f>"Porteiro (12x36)"</f>
        <v>Porteiro (12x36)</v>
      </c>
      <c r="C345" s="2" t="str">
        <f>"Portaria"</f>
        <v>Portaria</v>
      </c>
      <c r="D345" s="3">
        <v>374</v>
      </c>
      <c r="E345" s="2" t="str">
        <f>"WAGNER ROBERTO FERREIRA"</f>
        <v>WAGNER ROBERTO FERREIRA</v>
      </c>
    </row>
    <row r="346" spans="1:5" hidden="1" x14ac:dyDescent="0.2">
      <c r="A346" s="2" t="str">
        <f t="shared" si="12"/>
        <v>15</v>
      </c>
      <c r="B346" s="2" t="str">
        <f>"Professor(a) de Música"</f>
        <v>Professor(a) de Música</v>
      </c>
      <c r="C346" s="2" t="str">
        <f>"Musicalização Infantil"</f>
        <v>Musicalização Infantil</v>
      </c>
      <c r="D346" s="3">
        <v>35071</v>
      </c>
      <c r="E346" s="2" t="str">
        <f>"WALLAS DA SILVA GONÇALVES PENA"</f>
        <v>WALLAS DA SILVA GONÇALVES PENA</v>
      </c>
    </row>
    <row r="347" spans="1:5" hidden="1" x14ac:dyDescent="0.2">
      <c r="A347" s="2" t="str">
        <f t="shared" si="12"/>
        <v>15</v>
      </c>
      <c r="B347" s="2" t="str">
        <f>"Arquivista Musical"</f>
        <v>Arquivista Musical</v>
      </c>
      <c r="C347" s="2" t="str">
        <f>"Secretaria - Conservatorio"</f>
        <v>Secretaria - Conservatorio</v>
      </c>
      <c r="D347" s="3">
        <v>414</v>
      </c>
      <c r="E347" s="2" t="str">
        <f>"WALMIR SANTOS DIAS LOPES"</f>
        <v>WALMIR SANTOS DIAS LOPES</v>
      </c>
    </row>
    <row r="348" spans="1:5" hidden="1" x14ac:dyDescent="0.2">
      <c r="A348" s="2" t="str">
        <f t="shared" si="12"/>
        <v>15</v>
      </c>
      <c r="B348" s="2" t="str">
        <f>"Produtor de Eventos JR"</f>
        <v>Produtor de Eventos JR</v>
      </c>
      <c r="C348" s="2" t="str">
        <f>"Produção e Eventos"</f>
        <v>Produção e Eventos</v>
      </c>
      <c r="D348" s="3">
        <v>385</v>
      </c>
      <c r="E348" s="2" t="str">
        <f>"WESLEI SALOMAO SOARES"</f>
        <v>WESLEI SALOMAO SOARES</v>
      </c>
    </row>
    <row r="349" spans="1:5" hidden="1" x14ac:dyDescent="0.2">
      <c r="A349" s="2" t="str">
        <f t="shared" si="12"/>
        <v>15</v>
      </c>
      <c r="B349" s="2" t="str">
        <f>"Professor(a) de Música"</f>
        <v>Professor(a) de Música</v>
      </c>
      <c r="C349" s="2" t="str">
        <f>"Teatro"</f>
        <v>Teatro</v>
      </c>
      <c r="D349" s="3">
        <v>431</v>
      </c>
      <c r="E349" s="2" t="str">
        <f>"WILLIAN CUNHA DA SILVA"</f>
        <v>WILLIAN CUNHA DA SILVA</v>
      </c>
    </row>
    <row r="350" spans="1:5" hidden="1" x14ac:dyDescent="0.2">
      <c r="A350" s="2" t="str">
        <f t="shared" si="12"/>
        <v>15</v>
      </c>
      <c r="B350" s="2" t="str">
        <f>"Ajudante em Serviços Gerais"</f>
        <v>Ajudante em Serviços Gerais</v>
      </c>
      <c r="C350" s="2" t="str">
        <f>"Infraestrutura - Conservatório"</f>
        <v>Infraestrutura - Conservatório</v>
      </c>
      <c r="D350" s="3">
        <v>392</v>
      </c>
      <c r="E350" s="2" t="str">
        <f>"ZENAIDE ALVES CARRIEL MIRANDA"</f>
        <v>ZENAIDE ALVES CARRIEL MIRANDA</v>
      </c>
    </row>
    <row r="351" spans="1:5" hidden="1" x14ac:dyDescent="0.2">
      <c r="A351" s="4" t="str">
        <f t="shared" si="12"/>
        <v>15</v>
      </c>
      <c r="B351" s="4" t="str">
        <f>"Professor(a) de Música"</f>
        <v>Professor(a) de Música</v>
      </c>
      <c r="C351" s="4" t="str">
        <f>"Conservatorio"</f>
        <v>Conservatorio</v>
      </c>
      <c r="D351" s="5">
        <v>521</v>
      </c>
      <c r="E351" s="4" t="str">
        <f>"ZORAIDE MAZZULLI NUNES"</f>
        <v>ZORAIDE MAZZULLI NUNES</v>
      </c>
    </row>
  </sheetData>
  <autoFilter ref="A2:H351">
    <filterColumn colId="0">
      <filters>
        <filter val="1"/>
      </filters>
    </filterColumn>
  </autoFilter>
  <mergeCells count="1">
    <mergeCell ref="A1:E1"/>
  </mergeCells>
  <pageMargins left="0.78749999999999998" right="0.78749999999999998" top="0.88611111111111096" bottom="0.88611111111111096" header="0.51180555555555496" footer="0.51180555555555496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Mayra Silva</cp:lastModifiedBy>
  <cp:revision>1</cp:revision>
  <dcterms:modified xsi:type="dcterms:W3CDTF">2023-04-25T16:01:57Z</dcterms:modified>
  <dc:language>pt-BR</dc:language>
</cp:coreProperties>
</file>